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F:\Travail\Site internet\"/>
    </mc:Choice>
  </mc:AlternateContent>
  <xr:revisionPtr revIDLastSave="0" documentId="13_ncr:1_{E08937DF-8C69-41E2-9E8C-45474049541A}" xr6:coauthVersionLast="47" xr6:coauthVersionMax="47" xr10:uidLastSave="{00000000-0000-0000-0000-000000000000}"/>
  <bookViews>
    <workbookView xWindow="-110" yWindow="-110" windowWidth="19420" windowHeight="10300" tabRatio="859" xr2:uid="{6BE539B0-64D3-4C54-8EE1-C3645A431751}"/>
  </bookViews>
  <sheets>
    <sheet name="Annexe Manuscrit" sheetId="10" r:id="rId1"/>
    <sheet name="CSG-CRDS" sheetId="1" r:id="rId2"/>
    <sheet name="Flux" sheetId="2" r:id="rId3"/>
    <sheet name="Détail Niches" sheetId="3" r:id="rId4"/>
    <sheet name="Détail Economies" sheetId="5" r:id="rId5"/>
    <sheet name="Refonte fiscalité" sheetId="6" r:id="rId6"/>
    <sheet name="Input Capitalisation" sheetId="7" r:id="rId7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F4" i="6" l="1"/>
  <c r="J53" i="6"/>
  <c r="G62" i="6"/>
  <c r="G60" i="6"/>
  <c r="G58" i="6" s="1"/>
  <c r="C75" i="6"/>
  <c r="C67" i="6"/>
  <c r="C66" i="6" s="1"/>
  <c r="C64" i="6"/>
  <c r="C63" i="6"/>
  <c r="C62" i="6"/>
  <c r="J72" i="6"/>
  <c r="J71" i="6"/>
  <c r="C76" i="6" s="1"/>
  <c r="K50" i="6" s="1"/>
  <c r="C71" i="6"/>
  <c r="C69" i="6" s="1"/>
  <c r="J70" i="6"/>
  <c r="D58" i="6"/>
  <c r="C60" i="6" l="1"/>
  <c r="G63" i="6" l="1"/>
  <c r="G61" i="6" l="1"/>
  <c r="F16" i="10" l="1"/>
  <c r="E24" i="10"/>
  <c r="F4" i="10"/>
  <c r="I15" i="6"/>
  <c r="H42" i="6"/>
  <c r="H41" i="6"/>
  <c r="E2" i="7"/>
  <c r="H40" i="6" l="1"/>
  <c r="C13" i="7"/>
  <c r="E5" i="7"/>
  <c r="E6" i="7"/>
  <c r="E8" i="7"/>
  <c r="J16" i="5"/>
  <c r="J6" i="5"/>
  <c r="F6" i="5"/>
  <c r="E6" i="5"/>
  <c r="E16" i="2"/>
  <c r="E26" i="2"/>
  <c r="E21" i="2"/>
  <c r="E38" i="5"/>
  <c r="E43" i="5"/>
  <c r="F7" i="10"/>
  <c r="F18" i="10"/>
  <c r="F23" i="10"/>
  <c r="F27" i="10"/>
  <c r="C26" i="10"/>
  <c r="E26" i="10" s="1"/>
  <c r="C25" i="10"/>
  <c r="J9" i="1"/>
  <c r="D9" i="1"/>
  <c r="D10" i="1" s="1"/>
  <c r="J10" i="1" s="1"/>
  <c r="E12" i="10"/>
  <c r="F12" i="10" s="1"/>
  <c r="E9" i="1" l="1"/>
  <c r="H9" i="1" s="1"/>
  <c r="F9" i="1"/>
  <c r="I9" i="1" s="1"/>
  <c r="C24" i="10"/>
  <c r="E25" i="10"/>
  <c r="E10" i="1"/>
  <c r="H10" i="1" s="1"/>
  <c r="F10" i="1"/>
  <c r="K34" i="6"/>
  <c r="C27" i="10"/>
  <c r="E13" i="10"/>
  <c r="F13" i="10" s="1"/>
  <c r="F11" i="10" s="1"/>
  <c r="E18" i="10"/>
  <c r="E9" i="10"/>
  <c r="C9" i="10" s="1"/>
  <c r="E7" i="10"/>
  <c r="E10" i="10"/>
  <c r="C10" i="10" s="1"/>
  <c r="E23" i="10"/>
  <c r="E21" i="10"/>
  <c r="C21" i="10" s="1"/>
  <c r="E16" i="10"/>
  <c r="E6" i="10"/>
  <c r="C6" i="10" s="1"/>
  <c r="I10" i="1" l="1"/>
  <c r="G10" i="1"/>
  <c r="E11" i="10"/>
  <c r="C18" i="10"/>
  <c r="C23" i="10"/>
  <c r="C13" i="10"/>
  <c r="C7" i="10"/>
  <c r="C16" i="10"/>
  <c r="D11" i="1"/>
  <c r="D12" i="1" s="1"/>
  <c r="J12" i="1" s="1"/>
  <c r="O14" i="3"/>
  <c r="U6" i="5"/>
  <c r="S6" i="5"/>
  <c r="S32" i="5"/>
  <c r="O24" i="3"/>
  <c r="M24" i="3"/>
  <c r="O4" i="3"/>
  <c r="L4" i="3"/>
  <c r="P3" i="3"/>
  <c r="N3" i="3"/>
  <c r="O20" i="3"/>
  <c r="L20" i="3"/>
  <c r="O23" i="3"/>
  <c r="O22" i="3"/>
  <c r="L22" i="3"/>
  <c r="L21" i="3"/>
  <c r="L8" i="3"/>
  <c r="L19" i="3"/>
  <c r="O16" i="3"/>
  <c r="O18" i="3"/>
  <c r="O15" i="3"/>
  <c r="L12" i="3"/>
  <c r="L11" i="3"/>
  <c r="N10" i="3"/>
  <c r="M9" i="3"/>
  <c r="L6" i="3"/>
  <c r="O6" i="3"/>
  <c r="L7" i="3"/>
  <c r="O7" i="3"/>
  <c r="O5" i="3"/>
  <c r="L5" i="3"/>
  <c r="T3" i="5"/>
  <c r="V3" i="5"/>
  <c r="R40" i="5"/>
  <c r="U41" i="5"/>
  <c r="S43" i="5"/>
  <c r="S38" i="5"/>
  <c r="U33" i="5"/>
  <c r="U26" i="5"/>
  <c r="U25" i="5"/>
  <c r="R21" i="5"/>
  <c r="R20" i="5"/>
  <c r="R18" i="5"/>
  <c r="U11" i="5"/>
  <c r="U5" i="5"/>
  <c r="S5" i="5"/>
  <c r="C12" i="10" l="1"/>
  <c r="E11" i="1"/>
  <c r="H11" i="1" s="1"/>
  <c r="J11" i="1"/>
  <c r="F11" i="1"/>
  <c r="I11" i="1" s="1"/>
  <c r="E12" i="1"/>
  <c r="H12" i="1" s="1"/>
  <c r="F12" i="1"/>
  <c r="M3" i="3"/>
  <c r="L3" i="3"/>
  <c r="O3" i="3"/>
  <c r="S3" i="5"/>
  <c r="C6" i="2"/>
  <c r="C11" i="10" l="1"/>
  <c r="I12" i="1"/>
  <c r="G12" i="1"/>
  <c r="E4" i="5" l="1"/>
  <c r="E16" i="5" s="1"/>
  <c r="F8" i="10" s="1"/>
  <c r="F36" i="5"/>
  <c r="E36" i="5"/>
  <c r="D36" i="5"/>
  <c r="E22" i="10" s="1"/>
  <c r="C22" i="10" s="1"/>
  <c r="F27" i="5"/>
  <c r="E27" i="5"/>
  <c r="F17" i="10" s="1"/>
  <c r="F15" i="10" s="1"/>
  <c r="F14" i="10" s="1"/>
  <c r="D27" i="5"/>
  <c r="E17" i="10" s="1"/>
  <c r="F22" i="5"/>
  <c r="E22" i="5"/>
  <c r="F20" i="10" s="1"/>
  <c r="F19" i="10" s="1"/>
  <c r="D22" i="5"/>
  <c r="F3" i="5"/>
  <c r="F4" i="5"/>
  <c r="F16" i="5" s="1"/>
  <c r="D4" i="5"/>
  <c r="D16" i="5" s="1"/>
  <c r="E8" i="10" s="1"/>
  <c r="E5" i="10" s="1"/>
  <c r="E3" i="6"/>
  <c r="R22" i="5" l="1"/>
  <c r="R3" i="5" s="1"/>
  <c r="E20" i="10"/>
  <c r="E15" i="10"/>
  <c r="C17" i="10"/>
  <c r="C15" i="10" s="1"/>
  <c r="E4" i="10"/>
  <c r="F5" i="10"/>
  <c r="C8" i="10"/>
  <c r="C5" i="10" s="1"/>
  <c r="C4" i="10" s="1"/>
  <c r="U27" i="5"/>
  <c r="E20" i="7"/>
  <c r="E19" i="10" l="1"/>
  <c r="E3" i="10" s="1"/>
  <c r="C20" i="10"/>
  <c r="C19" i="10" s="1"/>
  <c r="C14" i="10" s="1"/>
  <c r="U3" i="5"/>
  <c r="E21" i="7"/>
  <c r="W22" i="7"/>
  <c r="W23" i="7"/>
  <c r="W25" i="7"/>
  <c r="W26" i="7"/>
  <c r="W27" i="7"/>
  <c r="W21" i="7"/>
  <c r="I23" i="7"/>
  <c r="D22" i="7" s="1"/>
  <c r="E22" i="7" s="1"/>
  <c r="D27" i="7"/>
  <c r="C11" i="7" s="1"/>
  <c r="C27" i="7"/>
  <c r="E23" i="7"/>
  <c r="C22" i="7" s="1"/>
  <c r="E14" i="10" l="1"/>
  <c r="C12" i="7"/>
  <c r="V20" i="7"/>
  <c r="L21" i="7" s="1"/>
  <c r="L22" i="7" s="1"/>
  <c r="L24" i="7" s="1"/>
  <c r="L27" i="7" s="1"/>
  <c r="C14" i="7" l="1"/>
  <c r="C10" i="7" s="1"/>
  <c r="E10" i="7" s="1"/>
  <c r="F28" i="10" s="1"/>
  <c r="F3" i="10" s="1"/>
  <c r="L25" i="7"/>
  <c r="H3" i="3"/>
  <c r="G3" i="3"/>
  <c r="G6" i="2"/>
  <c r="G23" i="2"/>
  <c r="G20" i="2"/>
  <c r="G16" i="6"/>
  <c r="G13" i="6" s="1"/>
  <c r="F16" i="6"/>
  <c r="F13" i="6" s="1"/>
  <c r="E16" i="6"/>
  <c r="E13" i="6" s="1"/>
  <c r="I37" i="6"/>
  <c r="I34" i="6"/>
  <c r="I32" i="6"/>
  <c r="H38" i="6"/>
  <c r="H39" i="6"/>
  <c r="H35" i="6"/>
  <c r="H24" i="6"/>
  <c r="H23" i="6"/>
  <c r="H21" i="6"/>
  <c r="H20" i="6"/>
  <c r="C13" i="6"/>
  <c r="I13" i="6" l="1"/>
  <c r="C28" i="10"/>
  <c r="H16" i="6"/>
  <c r="C3" i="10" l="1"/>
  <c r="H13" i="6"/>
  <c r="J13" i="6" s="1"/>
  <c r="K37" i="6" s="1"/>
  <c r="K13" i="6" s="1"/>
  <c r="E4" i="6" l="1"/>
  <c r="E3" i="5"/>
  <c r="D3" i="5"/>
  <c r="H6" i="2" l="1"/>
  <c r="E6" i="2"/>
  <c r="H3" i="1"/>
  <c r="I3" i="1"/>
  <c r="C3" i="2" l="1"/>
  <c r="D14" i="1"/>
  <c r="D15" i="1" s="1"/>
  <c r="D13" i="1" s="1"/>
  <c r="F13" i="1" s="1"/>
  <c r="D7" i="1"/>
  <c r="E4" i="7" l="1"/>
  <c r="I13" i="1"/>
  <c r="G13" i="1"/>
  <c r="E7" i="1"/>
  <c r="H7" i="1" s="1"/>
  <c r="D8" i="1"/>
  <c r="J7" i="1"/>
  <c r="J14" i="1"/>
  <c r="J15" i="1"/>
  <c r="J13" i="1"/>
  <c r="E13" i="1"/>
  <c r="H13" i="1" s="1"/>
  <c r="E15" i="1"/>
  <c r="H15" i="1" s="1"/>
  <c r="E14" i="1"/>
  <c r="H14" i="1" s="1"/>
  <c r="F7" i="1"/>
  <c r="I7" i="1" s="1"/>
  <c r="F15" i="1"/>
  <c r="F14" i="1"/>
  <c r="I14" i="1" l="1"/>
  <c r="G14" i="1"/>
  <c r="I15" i="1"/>
  <c r="G15" i="1"/>
  <c r="J8" i="1"/>
  <c r="E8" i="1"/>
  <c r="H8" i="1" s="1"/>
  <c r="F8" i="1"/>
  <c r="I8" i="1" l="1"/>
  <c r="G8" i="1"/>
</calcChain>
</file>

<file path=xl/sharedStrings.xml><?xml version="1.0" encoding="utf-8"?>
<sst xmlns="http://schemas.openxmlformats.org/spreadsheetml/2006/main" count="615" uniqueCount="485">
  <si>
    <t>Brut moyen</t>
  </si>
  <si>
    <t xml:space="preserve">Net moyen </t>
  </si>
  <si>
    <t>Net médian</t>
  </si>
  <si>
    <t>1 pt CSG</t>
  </si>
  <si>
    <t>CSG</t>
  </si>
  <si>
    <t>Md€</t>
  </si>
  <si>
    <t>Niches fiscales</t>
  </si>
  <si>
    <t>Niches sociales</t>
  </si>
  <si>
    <t>Economies Etat</t>
  </si>
  <si>
    <t>Economies Collectivités</t>
  </si>
  <si>
    <t>Commentaire</t>
  </si>
  <si>
    <t>Source</t>
  </si>
  <si>
    <t>Hypothèses</t>
  </si>
  <si>
    <t>en Md€</t>
  </si>
  <si>
    <t>Calculs Résolution</t>
  </si>
  <si>
    <t>PLF 2026, Voies et moyens Tome 2</t>
  </si>
  <si>
    <t>Cour des comptes, RALFSS 2024, chapitre IV</t>
  </si>
  <si>
    <t>PLF 2026, données des PAP</t>
  </si>
  <si>
    <t>Insee, comptes de la nation 2023, données COFOG</t>
  </si>
  <si>
    <t>PLF 2026, Voies et moyens Tome 2 ; CPO, février 2023</t>
  </si>
  <si>
    <t>CSG+CRDS activité</t>
  </si>
  <si>
    <t>Affectés à l'aide unique</t>
  </si>
  <si>
    <t>Dont énergie, agriculture</t>
  </si>
  <si>
    <t>Hors communes, sortie logement en 3 ans</t>
  </si>
  <si>
    <t xml:space="preserve">Hors transports, sortie agriculture en 3 ans </t>
  </si>
  <si>
    <t>Hors régalien, social, éducation, et socle 10 à 20 %</t>
  </si>
  <si>
    <t>Refonte fiscalité</t>
  </si>
  <si>
    <t>Taux réduits généraux</t>
  </si>
  <si>
    <t>Dont pacte Dutreil</t>
  </si>
  <si>
    <t>Hors outre-mer, hors agriculture</t>
  </si>
  <si>
    <t>Effet année pleine à terme</t>
  </si>
  <si>
    <t>Compense suppressions de taxe</t>
  </si>
  <si>
    <t>Compense refonte fiscalité</t>
  </si>
  <si>
    <t>Source : PLACSS 2024, Annexe 1</t>
  </si>
  <si>
    <t>Crédits et réductions d'impôt recyclés à 50 %</t>
  </si>
  <si>
    <t>Rendement recyclé à 50 %</t>
  </si>
  <si>
    <t>Effet aides en année pleine</t>
  </si>
  <si>
    <t>Effet aides type entreprise</t>
  </si>
  <si>
    <t>Hors minima dont handicap, sortie APL en 3 ans</t>
  </si>
  <si>
    <t>Dont taxes affectées</t>
  </si>
  <si>
    <t>Dont financements Etat</t>
  </si>
  <si>
    <t>Taux réduits TVA</t>
  </si>
  <si>
    <t xml:space="preserve">Impôt sur le revenu </t>
  </si>
  <si>
    <t>Impôt sur les sociétés</t>
  </si>
  <si>
    <t>Autres impôts et taxes</t>
  </si>
  <si>
    <t>Opérateurs (y. c. salaires)</t>
  </si>
  <si>
    <t>Chèques aux ménages</t>
  </si>
  <si>
    <t>Aides aux entreprises</t>
  </si>
  <si>
    <t>Subventions aux associations</t>
  </si>
  <si>
    <t>Charges courantes et achats</t>
  </si>
  <si>
    <t>Départs fonctionnaires Etat</t>
  </si>
  <si>
    <t>Dépenses culturelles</t>
  </si>
  <si>
    <t>Départs fonctionnaires locaux</t>
  </si>
  <si>
    <t>Total supprimé</t>
  </si>
  <si>
    <t>dont abattement retraites 10 %</t>
  </si>
  <si>
    <t>dont exonérations salariales</t>
  </si>
  <si>
    <t>dont restauration-hôtellerie à 10 %</t>
  </si>
  <si>
    <t>dont travaux à 10 % et 5,5 % (y.c. HLM)</t>
  </si>
  <si>
    <t>dont activités culturelles à 10 % et 5,5 %</t>
  </si>
  <si>
    <t>dont épargne réglementée</t>
  </si>
  <si>
    <t>dont réductions dons</t>
  </si>
  <si>
    <t>dont déductions travaux</t>
  </si>
  <si>
    <t>dont énergo-intensifs</t>
  </si>
  <si>
    <t>dont accises carburants (pro. et mén.)</t>
  </si>
  <si>
    <t>dont malus auto</t>
  </si>
  <si>
    <t>dont crédit impôt recherche, innovation</t>
  </si>
  <si>
    <t>dont taux réduit propriété intellectuelle</t>
  </si>
  <si>
    <t>dont prêts à taux zéro</t>
  </si>
  <si>
    <t>dont sociétés immobilières et HLM</t>
  </si>
  <si>
    <t>Nombre</t>
  </si>
  <si>
    <t>Md€ (2024)</t>
  </si>
  <si>
    <t>Niches fiscales recensées en PLF 2026 :</t>
  </si>
  <si>
    <t>Niches fiscales augmentées de la TVA toutes APU :</t>
  </si>
  <si>
    <t>Niches fiscales au fait générateur éteint :</t>
  </si>
  <si>
    <t>Niches fiscales au fait générateur éteint fin 2025 :</t>
  </si>
  <si>
    <t>Taux réduits de TVA non comptabilisés en niche* :</t>
  </si>
  <si>
    <t>* Estimation du CPO, février 2023, p. 32, de 30 Md€ en 2021 dont 20 Md€ sur l'eau et l'alimentation</t>
  </si>
  <si>
    <t>* Projection sur 2024 au pro-rata de la TVA dans les comptes nationaux de l'Insee</t>
  </si>
  <si>
    <t>dont France Compétences</t>
  </si>
  <si>
    <t>dont France Travail</t>
  </si>
  <si>
    <t xml:space="preserve">dont Agences de l'eau </t>
  </si>
  <si>
    <t>dont Action Logement</t>
  </si>
  <si>
    <t>dont AFITF</t>
  </si>
  <si>
    <t>dont Ademe</t>
  </si>
  <si>
    <t>dont APL</t>
  </si>
  <si>
    <t>dont chèque énergie</t>
  </si>
  <si>
    <t>dont CNC et subventions culturelles</t>
  </si>
  <si>
    <t>dont CCI et chambres d'agriculture</t>
  </si>
  <si>
    <t>dont établissements publics fonciers</t>
  </si>
  <si>
    <t>dont MaPrimeRénov'</t>
  </si>
  <si>
    <t>dont AME</t>
  </si>
  <si>
    <t>Effet APL et exo en année pleine</t>
  </si>
  <si>
    <t>dont exonérations emploi à domicile</t>
  </si>
  <si>
    <t>dont audiovisuel public</t>
  </si>
  <si>
    <t>dont aides à l'emploi et à l'apprentissage</t>
  </si>
  <si>
    <t>dont France 2030 et aides à l'investissement</t>
  </si>
  <si>
    <t>dont hébergement d'urgence</t>
  </si>
  <si>
    <t>dont aide publique au développement (APD)</t>
  </si>
  <si>
    <t>dont immigration et asile</t>
  </si>
  <si>
    <t>dont aide à l'emploi et à l'insertion</t>
  </si>
  <si>
    <t>dont subventions culturelles</t>
  </si>
  <si>
    <t>dont politique de la ville</t>
  </si>
  <si>
    <t>M</t>
  </si>
  <si>
    <t>mensuel</t>
  </si>
  <si>
    <t>annuel</t>
  </si>
  <si>
    <t>TVA</t>
  </si>
  <si>
    <t>IR net</t>
  </si>
  <si>
    <t>IS net</t>
  </si>
  <si>
    <t>Taxe foncière</t>
  </si>
  <si>
    <t>Droits de mutation</t>
  </si>
  <si>
    <t>dont taxe de séjour</t>
  </si>
  <si>
    <t>dont taxe pollution</t>
  </si>
  <si>
    <t>dont outre-mer</t>
  </si>
  <si>
    <t>Taxes sur la main d'œuvre</t>
  </si>
  <si>
    <t>dont forfaits de cotisation</t>
  </si>
  <si>
    <t>Taxes sur la consommation*</t>
  </si>
  <si>
    <t>*corrigé du bouclier tarifaire électricité</t>
  </si>
  <si>
    <t>dont énergie*</t>
  </si>
  <si>
    <t>dont assurances</t>
  </si>
  <si>
    <t>dont alcool, tabac, jeux</t>
  </si>
  <si>
    <t>Autres taxes sur les ménages</t>
  </si>
  <si>
    <t>Autres taxes sur les entreprises</t>
  </si>
  <si>
    <t>à titre onéreux</t>
  </si>
  <si>
    <t>à titre gratuit</t>
  </si>
  <si>
    <t>dont redevances sur l'eau</t>
  </si>
  <si>
    <t>dont services de transports</t>
  </si>
  <si>
    <t>dont numérique, spectacles</t>
  </si>
  <si>
    <t>dont véhicules</t>
  </si>
  <si>
    <t>dont autres taxes sur les produits</t>
  </si>
  <si>
    <t>Niches</t>
  </si>
  <si>
    <t>post CSG</t>
  </si>
  <si>
    <t>Total</t>
  </si>
  <si>
    <t xml:space="preserve">Solde à </t>
  </si>
  <si>
    <t>compenser</t>
  </si>
  <si>
    <t>Hausses</t>
  </si>
  <si>
    <t>niches</t>
  </si>
  <si>
    <t>+ suppression des CEE (6 à 8 Md€)</t>
  </si>
  <si>
    <t>PLF 2026, données des PAP ; Voies et moyens Tome 1 ; 
BI 2025 France Compétences, France Travail et Ademe</t>
  </si>
  <si>
    <t>supprimer</t>
  </si>
  <si>
    <t>Taxes à</t>
  </si>
  <si>
    <t>Taxes sur chiffre d'affaires et bénéfices</t>
  </si>
  <si>
    <t>Gain annuel</t>
  </si>
  <si>
    <t>(CSG+CRDS)</t>
  </si>
  <si>
    <t>1pt CSG</t>
  </si>
  <si>
    <t>Gain mensuel</t>
  </si>
  <si>
    <t>CSG+CRDS</t>
  </si>
  <si>
    <t>SMIC net</t>
  </si>
  <si>
    <t>SMIC brut</t>
  </si>
  <si>
    <t>Gain en %</t>
  </si>
  <si>
    <t>Salaire actuel</t>
  </si>
  <si>
    <t>CSG + CRDS activité</t>
  </si>
  <si>
    <t>Solde à restituer</t>
  </si>
  <si>
    <t>Restitué en CSG</t>
  </si>
  <si>
    <t>Sources : service-public.gouv.fr ; Insee ; PLACSS 2024, Annexe 1 ; Calculs Résolution. Données 2024, SMIC 2025</t>
  </si>
  <si>
    <t>Sources : PLF 2026, Voies et moyens Tomes 1 et 2, données des projets annuels de performance ; BI 2025 France Compétences, France Travail et Ademe ; CPO, février 2023 ; Cour des comptes, RALFSS 2024, chapitre IV ; Insee, comptes de la nation 2023, données COFOG ; Calculs Résolution.</t>
  </si>
  <si>
    <t>Dont intéressement, heures supplémentaires, titres restaurant, etc.</t>
  </si>
  <si>
    <t>Dont livret A, plans d'épargne, assurance vie, etc.</t>
  </si>
  <si>
    <t>Hors outre-mer (sauf crédits et réductions d'impôt), hors agriculture</t>
  </si>
  <si>
    <t>Taux réduits ciblés recyclés à 50 % du coût</t>
  </si>
  <si>
    <t>Hors emploi à domicile et garde d'enfant</t>
  </si>
  <si>
    <t>Abattements et assimilés recyclés à 100 %, reste à 50 %</t>
  </si>
  <si>
    <t>Hybride, électrique, hydrogène, utilitaires, etc.</t>
  </si>
  <si>
    <t>Dont un quart sur les particuliers</t>
  </si>
  <si>
    <t>Effets</t>
  </si>
  <si>
    <t>Dont taxes affectées, hors éducation et 10 % socle, 70 % salaire maintenu</t>
  </si>
  <si>
    <t xml:space="preserve">Sortie aides en 3 ans </t>
  </si>
  <si>
    <t>Hors entretien et projets ferroviers en cours</t>
  </si>
  <si>
    <t xml:space="preserve">Sortie subventions en 3 ans </t>
  </si>
  <si>
    <t>dont Agence nationale de l'habitat</t>
  </si>
  <si>
    <t xml:space="preserve">Extinction subventions en 3 ans </t>
  </si>
  <si>
    <t>Sortie en 3 ans (rythme d'extinction des baux privés)</t>
  </si>
  <si>
    <t>Hors 10 % pour soins urgents</t>
  </si>
  <si>
    <t>Vente intégrale</t>
  </si>
  <si>
    <t>Sortie des aides en 3 ans</t>
  </si>
  <si>
    <t xml:space="preserve">Sortie des exonérations de charges sociales en 3 ans </t>
  </si>
  <si>
    <t>Hors socle de 20 % (femmes battues, enfants)</t>
  </si>
  <si>
    <t>Hors régalien et éducation, 80 % d'économies</t>
  </si>
  <si>
    <t>Hors investissements sportifs et socle social de 10 %</t>
  </si>
  <si>
    <t>Hors régalien et éducation, 90 % de départs, 70 % salaire maintenu</t>
  </si>
  <si>
    <t xml:space="preserve"> Effets pleins à horizon estimé à 3 ans</t>
  </si>
  <si>
    <t>Suppression en 2 ans</t>
  </si>
  <si>
    <t>Montant</t>
  </si>
  <si>
    <t>en 2024</t>
  </si>
  <si>
    <t>Actifs à valoriser et transférer</t>
  </si>
  <si>
    <t>Participations financières</t>
  </si>
  <si>
    <t>Parc social</t>
  </si>
  <si>
    <t>Données 2024</t>
  </si>
  <si>
    <t>Mesures d'économie</t>
  </si>
  <si>
    <t>Total supprimé à terme</t>
  </si>
  <si>
    <t>Economie budgétaire en année pleine</t>
  </si>
  <si>
    <t>Economie locale en année pleine</t>
  </si>
  <si>
    <t>Economies Collectivités locales</t>
  </si>
  <si>
    <t>Logements</t>
  </si>
  <si>
    <t>Bâtiments non résidentiels</t>
  </si>
  <si>
    <t>Terrains supportant des constructions</t>
  </si>
  <si>
    <t>Terrains nus</t>
  </si>
  <si>
    <t>Actions/parts financières</t>
  </si>
  <si>
    <t>dont actions côtées</t>
  </si>
  <si>
    <t>non côté</t>
  </si>
  <si>
    <t>APUC</t>
  </si>
  <si>
    <t>4,2 Mha</t>
  </si>
  <si>
    <t>dont 1,9 Guyane, 1,8 ONF, 0,2 Clerl</t>
  </si>
  <si>
    <t>96,7 Mm2</t>
  </si>
  <si>
    <t>Etat</t>
  </si>
  <si>
    <t>Patrimoine net 2024</t>
  </si>
  <si>
    <t>APU</t>
  </si>
  <si>
    <t>part génie civil/construction APU</t>
  </si>
  <si>
    <t>Patrimoine foncier public</t>
  </si>
  <si>
    <t>23,1 Mm2</t>
  </si>
  <si>
    <t>18,5 Mm2</t>
  </si>
  <si>
    <t>Logements publics</t>
  </si>
  <si>
    <t>€/m2</t>
  </si>
  <si>
    <t>PLAI</t>
  </si>
  <si>
    <t>HLMO</t>
  </si>
  <si>
    <t>HBM&amp;</t>
  </si>
  <si>
    <t>PLUS</t>
  </si>
  <si>
    <t>PLS</t>
  </si>
  <si>
    <t>PLIS</t>
  </si>
  <si>
    <t>m2 / logement</t>
  </si>
  <si>
    <t>M logement</t>
  </si>
  <si>
    <t>Mm2 parc</t>
  </si>
  <si>
    <t>€/m2 hypothèse</t>
  </si>
  <si>
    <t>k€/logement</t>
  </si>
  <si>
    <t>Md€ encours de dette</t>
  </si>
  <si>
    <t>Md€ actif brut</t>
  </si>
  <si>
    <t>Md€ actif net</t>
  </si>
  <si>
    <t>logements Etat+opérateurs</t>
  </si>
  <si>
    <t>bureaux Etat+opérateurs</t>
  </si>
  <si>
    <t>=&gt;</t>
  </si>
  <si>
    <t>portefeuille APE</t>
  </si>
  <si>
    <t>portefeuille coté APE</t>
  </si>
  <si>
    <t>EDF = 100 ?</t>
  </si>
  <si>
    <t>terrains supportant le bâti</t>
  </si>
  <si>
    <t>Taux de PO</t>
  </si>
  <si>
    <t>PO</t>
  </si>
  <si>
    <t>PIB</t>
  </si>
  <si>
    <t>cible</t>
  </si>
  <si>
    <t>-</t>
  </si>
  <si>
    <t> -</t>
  </si>
  <si>
    <t>AE</t>
  </si>
  <si>
    <t>O</t>
  </si>
  <si>
    <t>E</t>
  </si>
  <si>
    <t>AVP</t>
  </si>
  <si>
    <t>APD</t>
  </si>
  <si>
    <t>CG</t>
  </si>
  <si>
    <t>MS</t>
  </si>
  <si>
    <t>AME</t>
  </si>
  <si>
    <t>autres</t>
  </si>
  <si>
    <t>A</t>
  </si>
  <si>
    <t>Privatisation de l’audiovisuel public</t>
  </si>
  <si>
    <t>HU+AME</t>
  </si>
  <si>
    <t>HU</t>
  </si>
  <si>
    <t>Flux annuels à affecter</t>
  </si>
  <si>
    <r>
      <t xml:space="preserve">Coût total pour les finances publiques </t>
    </r>
    <r>
      <rPr>
        <sz val="10"/>
        <color theme="1"/>
        <rFont val="Georgia"/>
        <family val="1"/>
      </rPr>
      <t>(en Md€)</t>
    </r>
  </si>
  <si>
    <r>
      <t xml:space="preserve">Point de vue des salariés </t>
    </r>
    <r>
      <rPr>
        <sz val="10"/>
        <color theme="1"/>
        <rFont val="Georgia"/>
        <family val="1"/>
      </rPr>
      <t>(en €)</t>
    </r>
  </si>
  <si>
    <r>
      <t xml:space="preserve">Transfert des </t>
    </r>
    <r>
      <rPr>
        <i/>
        <u/>
        <sz val="10"/>
        <color theme="1"/>
        <rFont val="Georgia"/>
        <family val="1"/>
      </rPr>
      <t>consommateurs et secteurs soutenus</t>
    </r>
    <r>
      <rPr>
        <i/>
        <sz val="10"/>
        <color theme="1"/>
        <rFont val="Georgia"/>
        <family val="1"/>
      </rPr>
      <t xml:space="preserve"> vers les actifs</t>
    </r>
  </si>
  <si>
    <r>
      <t>Transfert des</t>
    </r>
    <r>
      <rPr>
        <i/>
        <u/>
        <sz val="10"/>
        <color theme="1"/>
        <rFont val="Georgia"/>
        <family val="1"/>
      </rPr>
      <t xml:space="preserve"> inactifs et revenus exonérés</t>
    </r>
    <r>
      <rPr>
        <i/>
        <sz val="10"/>
        <color theme="1"/>
        <rFont val="Georgia"/>
        <family val="1"/>
      </rPr>
      <t xml:space="preserve"> vers les actifs</t>
    </r>
  </si>
  <si>
    <r>
      <t xml:space="preserve">Transferts des </t>
    </r>
    <r>
      <rPr>
        <i/>
        <u/>
        <sz val="10"/>
        <color theme="1"/>
        <rFont val="Georgia"/>
        <family val="1"/>
      </rPr>
      <t>secteurs soutenus</t>
    </r>
    <r>
      <rPr>
        <i/>
        <sz val="10"/>
        <color theme="1"/>
        <rFont val="Georgia"/>
        <family val="1"/>
      </rPr>
      <t xml:space="preserve"> vers les actifs</t>
    </r>
  </si>
  <si>
    <r>
      <t xml:space="preserve">Transfert des </t>
    </r>
    <r>
      <rPr>
        <i/>
        <u/>
        <sz val="10"/>
        <color theme="1"/>
        <rFont val="Georgia"/>
        <family val="1"/>
      </rPr>
      <t>revenus exonérés</t>
    </r>
    <r>
      <rPr>
        <i/>
        <sz val="10"/>
        <color theme="1"/>
        <rFont val="Georgia"/>
        <family val="1"/>
      </rPr>
      <t xml:space="preserve"> vers les actifs</t>
    </r>
  </si>
  <si>
    <r>
      <t xml:space="preserve">Transfert des </t>
    </r>
    <r>
      <rPr>
        <i/>
        <u/>
        <sz val="10"/>
        <color theme="1"/>
        <rFont val="Georgia"/>
        <family val="1"/>
      </rPr>
      <t>secteurs subventionnés et agents publics</t>
    </r>
    <r>
      <rPr>
        <i/>
        <sz val="10"/>
        <color theme="1"/>
        <rFont val="Georgia"/>
        <family val="1"/>
      </rPr>
      <t xml:space="preserve"> aux actifs</t>
    </r>
  </si>
  <si>
    <r>
      <t xml:space="preserve">Transfert des </t>
    </r>
    <r>
      <rPr>
        <i/>
        <u/>
        <sz val="10"/>
        <color theme="1"/>
        <rFont val="Georgia"/>
        <family val="1"/>
      </rPr>
      <t>bas revenus</t>
    </r>
    <r>
      <rPr>
        <i/>
        <sz val="10"/>
        <color theme="1"/>
        <rFont val="Georgia"/>
        <family val="1"/>
      </rPr>
      <t xml:space="preserve"> vers les actifs</t>
    </r>
  </si>
  <si>
    <r>
      <t xml:space="preserve">Transfert des </t>
    </r>
    <r>
      <rPr>
        <i/>
        <u/>
        <sz val="10"/>
        <color theme="1"/>
        <rFont val="Georgia"/>
        <family val="1"/>
      </rPr>
      <t>secteurs subventionnés</t>
    </r>
    <r>
      <rPr>
        <i/>
        <sz val="10"/>
        <color theme="1"/>
        <rFont val="Georgia"/>
        <family val="1"/>
      </rPr>
      <t xml:space="preserve"> vers les actifs</t>
    </r>
  </si>
  <si>
    <r>
      <t xml:space="preserve">Transfert des </t>
    </r>
    <r>
      <rPr>
        <i/>
        <u/>
        <sz val="10"/>
        <color theme="1"/>
        <rFont val="Georgia"/>
        <family val="1"/>
      </rPr>
      <t>secteurs associatifs et populations cibles</t>
    </r>
    <r>
      <rPr>
        <i/>
        <sz val="10"/>
        <color theme="1"/>
        <rFont val="Georgia"/>
        <family val="1"/>
      </rPr>
      <t xml:space="preserve"> aux actifs</t>
    </r>
  </si>
  <si>
    <r>
      <t xml:space="preserve">Transfert des </t>
    </r>
    <r>
      <rPr>
        <i/>
        <u/>
        <sz val="10"/>
        <color theme="1"/>
        <rFont val="Georgia"/>
        <family val="1"/>
      </rPr>
      <t>marchés publics</t>
    </r>
    <r>
      <rPr>
        <i/>
        <sz val="10"/>
        <color theme="1"/>
        <rFont val="Georgia"/>
        <family val="1"/>
      </rPr>
      <t xml:space="preserve"> vers les actifs</t>
    </r>
  </si>
  <si>
    <r>
      <t xml:space="preserve">Transfert des </t>
    </r>
    <r>
      <rPr>
        <i/>
        <u/>
        <sz val="10"/>
        <color theme="1"/>
        <rFont val="Georgia"/>
        <family val="1"/>
      </rPr>
      <t>agents publics</t>
    </r>
    <r>
      <rPr>
        <i/>
        <sz val="10"/>
        <color theme="1"/>
        <rFont val="Georgia"/>
        <family val="1"/>
      </rPr>
      <t xml:space="preserve"> (compensés à 70 %) vers les actifs</t>
    </r>
  </si>
  <si>
    <r>
      <t>Données utilisées sur les dépenses fiscales</t>
    </r>
    <r>
      <rPr>
        <sz val="9"/>
        <rFont val="Georgia"/>
        <family val="1"/>
      </rPr>
      <t xml:space="preserve"> (hors champ social)</t>
    </r>
  </si>
  <si>
    <r>
      <t xml:space="preserve">Niches supprimées pour CSG </t>
    </r>
    <r>
      <rPr>
        <sz val="9"/>
        <color theme="1"/>
        <rFont val="Georgia"/>
        <family val="1"/>
      </rPr>
      <t>(Md€)</t>
    </r>
  </si>
  <si>
    <r>
      <t xml:space="preserve">Economies en dépense </t>
    </r>
    <r>
      <rPr>
        <sz val="10"/>
        <color theme="1"/>
        <rFont val="Georgia"/>
        <family val="1"/>
      </rPr>
      <t>(Md€)</t>
    </r>
  </si>
  <si>
    <r>
      <t xml:space="preserve">Opérateurs </t>
    </r>
    <r>
      <rPr>
        <sz val="10"/>
        <color theme="1"/>
        <rFont val="Georgia"/>
        <family val="1"/>
      </rPr>
      <t>(y. c. salaires)</t>
    </r>
  </si>
  <si>
    <t>Retraités</t>
  </si>
  <si>
    <t>Tous ménages</t>
  </si>
  <si>
    <t>Toutes entreprises</t>
  </si>
  <si>
    <t>Actifs</t>
  </si>
  <si>
    <t xml:space="preserve">Autres </t>
  </si>
  <si>
    <t>Autres</t>
  </si>
  <si>
    <t>Extinction des aides aux entreprises pour l’emploi, l'apprentissage et l'insertion (dont France Compétences)</t>
  </si>
  <si>
    <t>Gain en année 1</t>
  </si>
  <si>
    <t>Fin des aides inconditionnelles à l'hébergement et aux soins</t>
  </si>
  <si>
    <t>Plan de départ des agents administratifs locaux</t>
  </si>
  <si>
    <t>Économies sur les subventions aux entreprises</t>
  </si>
  <si>
    <t xml:space="preserve">Économies sur la masse salariale des administrations </t>
  </si>
  <si>
    <t>Économies sur les niches fiscales et sociales</t>
  </si>
  <si>
    <t>Total des économies</t>
  </si>
  <si>
    <t>Plan de départ des agents administratifs de l'Etat et ses agences</t>
  </si>
  <si>
    <t>Fin des dépenses de fonctionnement des administrations de l'Etat non indispensables</t>
  </si>
  <si>
    <t>Fin des dépenses de fonctionnement des échelons locaux non indispensables</t>
  </si>
  <si>
    <t>Économies</t>
  </si>
  <si>
    <t>Économies sur le fonctionnement des administrations</t>
  </si>
  <si>
    <t>Economies sur les subventions</t>
  </si>
  <si>
    <r>
      <t xml:space="preserve">Patrimoine public valorisé et restitué </t>
    </r>
    <r>
      <rPr>
        <i/>
        <sz val="10"/>
        <color theme="0"/>
        <rFont val="Georgia"/>
        <family val="1"/>
      </rPr>
      <t>(rendement net par an)</t>
    </r>
  </si>
  <si>
    <t>En Md€ par an</t>
  </si>
  <si>
    <t>Assurance chômage transformée en épargne</t>
  </si>
  <si>
    <t>Extinction des niches sur les revenus</t>
  </si>
  <si>
    <t>Extinction des niches sur la TVA et les sociétés</t>
  </si>
  <si>
    <t>Fin de l’aide publique au développement</t>
  </si>
  <si>
    <t>Extinction des subventions aux autres associations</t>
  </si>
  <si>
    <t>Extinction des aides locales aux entreprises</t>
  </si>
  <si>
    <t>Extinction des aides aux entreprises pour l’investissement 
(dont France 2030)</t>
  </si>
  <si>
    <t>Extinction des dépenses locales de culture et loisir</t>
  </si>
  <si>
    <t>Economies année 1 reliquat post suppression CSG</t>
  </si>
  <si>
    <t>Restitué en taxes</t>
  </si>
  <si>
    <t>max (3%val&gt;100k€; IR PV)</t>
  </si>
  <si>
    <t>Economies sur les structures facultatives</t>
  </si>
  <si>
    <t>2024</t>
  </si>
  <si>
    <t/>
  </si>
  <si>
    <t>Total des actifs non financiers (net)</t>
  </si>
  <si>
    <t>Actifs non financiers produits (net)</t>
  </si>
  <si>
    <t xml:space="preserve">  Actifs fixes par type d’actifs (net)</t>
  </si>
  <si>
    <t xml:space="preserve">  Constructions (net)</t>
  </si>
  <si>
    <t xml:space="preserve">    Logements (net)</t>
  </si>
  <si>
    <t xml:space="preserve">    Autres bâtiments et ouvrages de génie civil (net)</t>
  </si>
  <si>
    <t xml:space="preserve">      Bâtiments non résidentiels (net)</t>
  </si>
  <si>
    <t xml:space="preserve">      Autres ouvrages de génie civil (net)</t>
  </si>
  <si>
    <t xml:space="preserve">    Machines et équipements (net)</t>
  </si>
  <si>
    <t xml:space="preserve">      Matériels de transport (net)</t>
  </si>
  <si>
    <t xml:space="preserve">      Équipements TIC (net)</t>
  </si>
  <si>
    <t xml:space="preserve">      Autres machines et équipements (net)</t>
  </si>
  <si>
    <t xml:space="preserve">    Systèmes d’armes (net)</t>
  </si>
  <si>
    <t xml:space="preserve">    Ressources biologiques cultivées (net)</t>
  </si>
  <si>
    <t xml:space="preserve">    Droits de propriété intellectuelle (net)</t>
  </si>
  <si>
    <t xml:space="preserve">      Recherche et développement (net)</t>
  </si>
  <si>
    <t xml:space="preserve">      Logiciels et bases de données (net)</t>
  </si>
  <si>
    <t xml:space="preserve">      Œuvres récréatives, littéraires ou artistiques originales (net)</t>
  </si>
  <si>
    <t xml:space="preserve">  Stocks par type de stocks (net)</t>
  </si>
  <si>
    <t xml:space="preserve">  Objets de valeur (net)</t>
  </si>
  <si>
    <t>Actifs non financiers non produits (net)</t>
  </si>
  <si>
    <t xml:space="preserve">  Ressources naturelles (net)</t>
  </si>
  <si>
    <t xml:space="preserve">    Terrains (net)</t>
  </si>
  <si>
    <t xml:space="preserve">      Terrains supportant des bâtiments et des ouvrages de génie civil (net)</t>
  </si>
  <si>
    <t xml:space="preserve">      Terrains cultivés (net)</t>
  </si>
  <si>
    <t xml:space="preserve">      Terrains et plans d’eau de loisirs (net)</t>
  </si>
  <si>
    <t xml:space="preserve">      Autres terrains et plans d’eau (net)</t>
  </si>
  <si>
    <t xml:space="preserve">    Réserves de minerais et de produits énergétiques (net)</t>
  </si>
  <si>
    <t xml:space="preserve">    Ressources en eau (net)</t>
  </si>
  <si>
    <t xml:space="preserve">  Contrats, baux et licences  (net)</t>
  </si>
  <si>
    <t xml:space="preserve">  Achats moins ventes de fonds commerciaux et d’autres actifs commerciaux (net)</t>
  </si>
  <si>
    <t>Total des actifs financiers</t>
  </si>
  <si>
    <t>Or monétaire et droits de tirage spéciaux (DTS)</t>
  </si>
  <si>
    <t>Numéraire et dépôts</t>
  </si>
  <si>
    <t>Titres de créance</t>
  </si>
  <si>
    <t>Crédits</t>
  </si>
  <si>
    <t>Actions et parts de fonds d’investissement</t>
  </si>
  <si>
    <t xml:space="preserve">    dont Actions cotées</t>
  </si>
  <si>
    <t>Systèmes d’assurance, de pension et de garanties standard</t>
  </si>
  <si>
    <t>Produits financiers dérivés et options sur titres des salariés</t>
  </si>
  <si>
    <t>Autres comptes à recevoir / à payer</t>
  </si>
  <si>
    <t>Total des actifs</t>
  </si>
  <si>
    <t>NN</t>
  </si>
  <si>
    <t>N1N</t>
  </si>
  <si>
    <t>N11N</t>
  </si>
  <si>
    <t>N11KN</t>
  </si>
  <si>
    <t>N111N</t>
  </si>
  <si>
    <t>N112N</t>
  </si>
  <si>
    <t>N1121N</t>
  </si>
  <si>
    <t>N1122N</t>
  </si>
  <si>
    <t>N113N</t>
  </si>
  <si>
    <t>N1131N</t>
  </si>
  <si>
    <t>N1132N</t>
  </si>
  <si>
    <t>N1139N</t>
  </si>
  <si>
    <t>N114N</t>
  </si>
  <si>
    <t>N115N</t>
  </si>
  <si>
    <t>N117N</t>
  </si>
  <si>
    <t>N1171N</t>
  </si>
  <si>
    <t>N1173N</t>
  </si>
  <si>
    <t>N1174N</t>
  </si>
  <si>
    <t>N12N</t>
  </si>
  <si>
    <t>N13N</t>
  </si>
  <si>
    <t>N2N</t>
  </si>
  <si>
    <t>N21N</t>
  </si>
  <si>
    <t>N211N</t>
  </si>
  <si>
    <t>N2111N</t>
  </si>
  <si>
    <t>N2112N</t>
  </si>
  <si>
    <t>N2113N</t>
  </si>
  <si>
    <t>N2119N</t>
  </si>
  <si>
    <t>N212N</t>
  </si>
  <si>
    <t>N214N</t>
  </si>
  <si>
    <t>N22N</t>
  </si>
  <si>
    <t>N23N</t>
  </si>
  <si>
    <t>F</t>
  </si>
  <si>
    <t>F1</t>
  </si>
  <si>
    <t>F2</t>
  </si>
  <si>
    <t>F3</t>
  </si>
  <si>
    <t>F4</t>
  </si>
  <si>
    <t>F5</t>
  </si>
  <si>
    <t>F511</t>
  </si>
  <si>
    <t>F6</t>
  </si>
  <si>
    <t>F7</t>
  </si>
  <si>
    <t>F8</t>
  </si>
  <si>
    <t>FN</t>
  </si>
  <si>
    <t>Économies sur les aides aux particuliers et aux associations</t>
  </si>
  <si>
    <t>Extinction des chèques ciblés aux particuliers (dont APL)</t>
  </si>
  <si>
    <t>En € par an par foyer</t>
  </si>
  <si>
    <t xml:space="preserve">Fermeture des agences non indispensables,
dont interventions en logement, culture, écologie, etc. </t>
  </si>
  <si>
    <t>27pt IS</t>
  </si>
  <si>
    <t>SMIC brut 01/2026</t>
  </si>
  <si>
    <t>SMIC net 01/2026</t>
  </si>
  <si>
    <t>SMIC brut 06/2026</t>
  </si>
  <si>
    <t>SMIC net 06/2026</t>
  </si>
  <si>
    <t>Autre gise-ment</t>
  </si>
  <si>
    <t xml:space="preserve">Plus chèque éducation </t>
  </si>
  <si>
    <t>Gain année 1</t>
  </si>
  <si>
    <t>Gain supp. à terme</t>
  </si>
  <si>
    <t>Fléché sur la capitalisation</t>
  </si>
  <si>
    <t>Baisse d'ETP</t>
  </si>
  <si>
    <t>Toutes APU</t>
  </si>
  <si>
    <t>MS année 1 : 1,052 Md€ d'économie</t>
  </si>
  <si>
    <t>France Travail</t>
  </si>
  <si>
    <t>APUL</t>
  </si>
  <si>
    <t>hors FrTravail</t>
  </si>
  <si>
    <t>https://www.union-habitat.org/les-hlm-en-chiffres</t>
  </si>
  <si>
    <t>https://www.insee.fr/fr/statistiques/8988859?sommaire=8988934</t>
  </si>
  <si>
    <r>
      <t xml:space="preserve">Transformation assurance chômage </t>
    </r>
    <r>
      <rPr>
        <i/>
        <sz val="10"/>
        <color theme="1"/>
        <rFont val="Georgia"/>
        <family val="1"/>
      </rPr>
      <t>(base de dépenses = 37,1 Md€)</t>
    </r>
  </si>
  <si>
    <t>Rendement net annuel des actifs rendus</t>
  </si>
  <si>
    <t>Total des actifs à restituer</t>
  </si>
  <si>
    <t>Flux économisé affecté à la capitalisation</t>
  </si>
  <si>
    <t>Solde brut</t>
  </si>
  <si>
    <t>à restituer</t>
  </si>
  <si>
    <t>Somme</t>
  </si>
  <si>
    <t>restituées</t>
  </si>
  <si>
    <t>Gisement à</t>
  </si>
  <si>
    <t>Schéma PO Résolution</t>
  </si>
  <si>
    <t>https://www.insee.fr/fr/statistiques/8988845?sommaire=8988934</t>
  </si>
  <si>
    <t>3.217</t>
  </si>
  <si>
    <t>(extraits)</t>
  </si>
  <si>
    <t>d'équilibre</t>
  </si>
  <si>
    <t>S</t>
  </si>
  <si>
    <t>G</t>
  </si>
  <si>
    <t>T</t>
  </si>
  <si>
    <t>H=-T-G-S</t>
  </si>
  <si>
    <t>Gain supp. en année pleine</t>
  </si>
  <si>
    <t>En Md€</t>
  </si>
  <si>
    <t>DGFiP</t>
  </si>
  <si>
    <t>IR 2023</t>
  </si>
  <si>
    <t>RFR/part moyen</t>
  </si>
  <si>
    <t>taux IR moyen</t>
  </si>
  <si>
    <t>max</t>
  </si>
  <si>
    <t>D6</t>
  </si>
  <si>
    <t>Niches fléchées</t>
  </si>
  <si>
    <t>multiple</t>
  </si>
  <si>
    <t>D7</t>
  </si>
  <si>
    <t>Solde des niches sociales supprimées</t>
  </si>
  <si>
    <t>D8</t>
  </si>
  <si>
    <t>Adultes</t>
  </si>
  <si>
    <t>min</t>
  </si>
  <si>
    <t>D9</t>
  </si>
  <si>
    <t>Budgétaire</t>
  </si>
  <si>
    <t>Enfants</t>
  </si>
  <si>
    <t>D10</t>
  </si>
  <si>
    <t>Aides sociales (RSA, PA, AAH, etc.)</t>
  </si>
  <si>
    <t>Population fiscale 2025</t>
  </si>
  <si>
    <t>IR brut (dont hors barème et CEHR)</t>
  </si>
  <si>
    <t>dont CI +RI</t>
  </si>
  <si>
    <t>net imposable</t>
  </si>
  <si>
    <t>RFR de référence</t>
  </si>
  <si>
    <t>Social</t>
  </si>
  <si>
    <t>Handicapés adultes (AAH)</t>
  </si>
  <si>
    <t>déclarés</t>
  </si>
  <si>
    <t>Aides CNAF (y.c. discrétionnaires)</t>
  </si>
  <si>
    <t>Handicapés enfants (AEEH)</t>
  </si>
  <si>
    <t>taux moyen sur imposable</t>
  </si>
  <si>
    <t>Charges de gestion CNAF</t>
  </si>
  <si>
    <t>taux moyen sur RFR</t>
  </si>
  <si>
    <t>ASPA/ASV</t>
  </si>
  <si>
    <t>taux moyen sur déclaré</t>
  </si>
  <si>
    <t>Aides sociales locales</t>
  </si>
  <si>
    <t>Enfant</t>
  </si>
  <si>
    <t>Part handicap</t>
  </si>
  <si>
    <t>taux moyen IR de référence</t>
  </si>
  <si>
    <t>https://www.impots.gouv.fr/sites/default/files/media/9_statistiques/0_etudes_et_stats/0_publications/dgfip_statistiques/2025/num32_04/dgfip_stat_32_2025.pdf</t>
  </si>
  <si>
    <t>Schéma de l'aide fondamentale universelle couplée à l'impôt sur le revenu uniformisé</t>
  </si>
  <si>
    <t>Dépenses fusionnées en aide fondamentale</t>
  </si>
  <si>
    <t>Population recensée en 2025</t>
  </si>
  <si>
    <t>Aide fondamentale</t>
  </si>
  <si>
    <t>€/mois</t>
  </si>
  <si>
    <t>Pondération par personne</t>
  </si>
  <si>
    <t>Adulte</t>
  </si>
  <si>
    <t>Total estimé de l'aide fondamentale</t>
  </si>
  <si>
    <t>Fiscal (hors quotient)</t>
  </si>
  <si>
    <t>Impôt sur le revenu total brut</t>
  </si>
  <si>
    <t>Brut</t>
  </si>
  <si>
    <t>Complément brut d'IR avant AFU, avant CSG</t>
  </si>
  <si>
    <t>Revenu estimé d'entrée dans l'IR net</t>
  </si>
  <si>
    <t>Md€/an</t>
  </si>
  <si>
    <t>Taux unique d'IR brut estimé</t>
  </si>
  <si>
    <t>€/an après réforme CSG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</si>
</sst>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-* #,##0.00_-;\-* #,##0.00_-;_-* &quot;-&quot;??_-;_-@_-"/>
    <numFmt numFmtId="164" formatCode="0.0"/>
    <numFmt numFmtId="165" formatCode="000000"/>
    <numFmt numFmtId="166" formatCode="_-* #,##0_-;\-* #,##0_-;_-* &quot;-&quot;??_-;_-@_-"/>
    <numFmt numFmtId="167" formatCode="\+0%"/>
    <numFmt numFmtId="168" formatCode="0.0%"/>
    <numFmt numFmtId="169" formatCode="#,##0.0"/>
    <numFmt numFmtId="170" formatCode="_-* #,##0.00\ _€_-;\-* #,##0.00\ _€_-;_-* &quot;-&quot;??\ _€_-;_-@_-"/>
  </numFmts>
  <fonts count="40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Georgia"/>
      <family val="1"/>
    </font>
    <font>
      <b/>
      <sz val="10"/>
      <color theme="1"/>
      <name val="Georgia"/>
      <family val="1"/>
    </font>
    <font>
      <b/>
      <sz val="10"/>
      <color theme="0"/>
      <name val="Georgia"/>
      <family val="1"/>
    </font>
    <font>
      <i/>
      <sz val="10"/>
      <color theme="0"/>
      <name val="Georgia"/>
      <family val="1"/>
    </font>
    <font>
      <sz val="10"/>
      <color theme="0"/>
      <name val="Georgia"/>
      <family val="1"/>
    </font>
    <font>
      <b/>
      <sz val="10"/>
      <color rgb="FF000000"/>
      <name val="Georgia"/>
      <family val="1"/>
    </font>
    <font>
      <sz val="10"/>
      <color rgb="FF000000"/>
      <name val="Georgia"/>
      <family val="1"/>
    </font>
    <font>
      <sz val="10"/>
      <color rgb="FFFF0000"/>
      <name val="Georgia"/>
      <family val="1"/>
    </font>
    <font>
      <i/>
      <sz val="10"/>
      <color theme="1"/>
      <name val="Georgia"/>
      <family val="1"/>
    </font>
    <font>
      <b/>
      <i/>
      <sz val="10"/>
      <color theme="1"/>
      <name val="Georgia"/>
      <family val="1"/>
    </font>
    <font>
      <i/>
      <sz val="9"/>
      <color theme="1"/>
      <name val="Georgia"/>
      <family val="1"/>
    </font>
    <font>
      <i/>
      <u/>
      <sz val="10"/>
      <color theme="1"/>
      <name val="Georgia"/>
      <family val="1"/>
    </font>
    <font>
      <sz val="9"/>
      <color theme="1"/>
      <name val="Georgia"/>
      <family val="1"/>
    </font>
    <font>
      <b/>
      <sz val="9"/>
      <name val="Georgia"/>
      <family val="1"/>
    </font>
    <font>
      <sz val="9"/>
      <name val="Georgia"/>
      <family val="1"/>
    </font>
    <font>
      <b/>
      <sz val="9"/>
      <color theme="1"/>
      <name val="Georgia"/>
      <family val="1"/>
    </font>
    <font>
      <i/>
      <sz val="9"/>
      <name val="Georgia"/>
      <family val="1"/>
    </font>
    <font>
      <i/>
      <sz val="10"/>
      <color theme="1" tint="0.499984740745262"/>
      <name val="Georgia"/>
      <family val="1"/>
    </font>
    <font>
      <i/>
      <sz val="10"/>
      <color rgb="FFFF0000"/>
      <name val="Georgia"/>
      <family val="1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sz val="10"/>
      <color theme="2"/>
      <name val="Georgia"/>
      <family val="1"/>
    </font>
    <font>
      <sz val="9"/>
      <color theme="2"/>
      <name val="Georgia"/>
      <family val="1"/>
    </font>
    <font>
      <b/>
      <sz val="9"/>
      <color theme="2"/>
      <name val="Georgia"/>
      <family val="1"/>
    </font>
    <font>
      <b/>
      <sz val="10"/>
      <color theme="2" tint="-9.9978637043366805E-2"/>
      <name val="Georgia"/>
      <family val="1"/>
    </font>
    <font>
      <i/>
      <sz val="10"/>
      <color theme="2" tint="-9.9978637043366805E-2"/>
      <name val="Georgia"/>
      <family val="1"/>
    </font>
    <font>
      <sz val="10"/>
      <color theme="2" tint="-9.9978637043366805E-2"/>
      <name val="Georgia"/>
      <family val="1"/>
    </font>
    <font>
      <u/>
      <sz val="11"/>
      <color theme="10"/>
      <name val="Calibri"/>
      <family val="2"/>
      <scheme val="minor"/>
    </font>
    <font>
      <sz val="10"/>
      <color theme="1" tint="0.499984740745262"/>
      <name val="Georgia"/>
      <family val="1"/>
    </font>
    <font>
      <b/>
      <sz val="10"/>
      <color theme="1" tint="0.499984740745262"/>
      <name val="Georgia"/>
      <family val="1"/>
    </font>
    <font>
      <u/>
      <sz val="10"/>
      <color theme="1"/>
      <name val="Georgia"/>
      <family val="1"/>
    </font>
    <font>
      <sz val="10"/>
      <name val="Georgia"/>
      <family val="1"/>
    </font>
    <font>
      <i/>
      <sz val="10"/>
      <name val="Georgia"/>
      <family val="1"/>
    </font>
    <font>
      <u/>
      <sz val="10"/>
      <name val="Georgia"/>
      <family val="1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1" tint="0.14999847407452621"/>
        <bgColor indexed="64"/>
      </patternFill>
    </fill>
    <fill>
      <patternFill patternType="solid">
        <fgColor theme="1" tint="0.34998626667073579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23" fillId="0" borderId="0"/>
    <xf numFmtId="0" fontId="24" fillId="0" borderId="0"/>
    <xf numFmtId="0" fontId="25" fillId="0" borderId="0"/>
    <xf numFmtId="0" fontId="2" fillId="0" borderId="0"/>
    <xf numFmtId="170" fontId="2" fillId="0" borderId="0" applyFont="0" applyFill="0" applyBorder="0" applyAlignment="0" applyProtection="0"/>
    <xf numFmtId="170" fontId="24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331">
    <xf numFmtId="0" fontId="0" fillId="0" borderId="0" xfId="0"/>
    <xf numFmtId="0" fontId="3" fillId="0" borderId="0" xfId="0" applyFont="1"/>
    <xf numFmtId="0" fontId="4" fillId="0" borderId="0" xfId="0" applyFont="1"/>
    <xf numFmtId="0" fontId="5" fillId="6" borderId="39" xfId="0" applyFont="1" applyFill="1" applyBorder="1" applyAlignment="1">
      <alignment horizontal="center" vertical="center" wrapText="1"/>
    </xf>
    <xf numFmtId="0" fontId="7" fillId="6" borderId="38" xfId="0" applyFont="1" applyFill="1" applyBorder="1" applyAlignment="1">
      <alignment horizontal="center" vertical="center" wrapText="1"/>
    </xf>
    <xf numFmtId="1" fontId="5" fillId="6" borderId="8" xfId="0" applyNumberFormat="1" applyFont="1" applyFill="1" applyBorder="1" applyAlignment="1">
      <alignment horizontal="center" vertical="center"/>
    </xf>
    <xf numFmtId="1" fontId="8" fillId="5" borderId="8" xfId="0" applyNumberFormat="1" applyFont="1" applyFill="1" applyBorder="1" applyAlignment="1">
      <alignment horizontal="center" vertical="center"/>
    </xf>
    <xf numFmtId="1" fontId="9" fillId="5" borderId="8" xfId="0" applyNumberFormat="1" applyFont="1" applyFill="1" applyBorder="1" applyAlignment="1">
      <alignment horizontal="center" vertical="center"/>
    </xf>
    <xf numFmtId="1" fontId="9" fillId="0" borderId="8" xfId="0" applyNumberFormat="1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0" fontId="10" fillId="0" borderId="0" xfId="0" applyFont="1"/>
    <xf numFmtId="0" fontId="3" fillId="0" borderId="4" xfId="0" applyFont="1" applyBorder="1"/>
    <xf numFmtId="0" fontId="3" fillId="0" borderId="5" xfId="0" applyFont="1" applyBorder="1"/>
    <xf numFmtId="0" fontId="11" fillId="3" borderId="1" xfId="0" applyFont="1" applyFill="1" applyBorder="1" applyAlignment="1">
      <alignment horizontal="center"/>
    </xf>
    <xf numFmtId="0" fontId="12" fillId="3" borderId="6" xfId="0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center"/>
    </xf>
    <xf numFmtId="1" fontId="11" fillId="3" borderId="7" xfId="0" applyNumberFormat="1" applyFont="1" applyFill="1" applyBorder="1" applyAlignment="1">
      <alignment horizontal="right"/>
    </xf>
    <xf numFmtId="0" fontId="12" fillId="0" borderId="1" xfId="0" applyFont="1" applyBorder="1" applyAlignment="1">
      <alignment horizontal="center"/>
    </xf>
    <xf numFmtId="0" fontId="12" fillId="0" borderId="35" xfId="0" applyFont="1" applyBorder="1" applyAlignment="1">
      <alignment horizontal="center"/>
    </xf>
    <xf numFmtId="0" fontId="13" fillId="0" borderId="0" xfId="0" applyFont="1"/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right" vertical="center"/>
    </xf>
    <xf numFmtId="0" fontId="4" fillId="3" borderId="19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/>
    </xf>
    <xf numFmtId="0" fontId="4" fillId="3" borderId="7" xfId="0" applyFont="1" applyFill="1" applyBorder="1"/>
    <xf numFmtId="1" fontId="4" fillId="3" borderId="7" xfId="0" applyNumberFormat="1" applyFont="1" applyFill="1" applyBorder="1" applyAlignment="1">
      <alignment horizontal="center"/>
    </xf>
    <xf numFmtId="1" fontId="3" fillId="3" borderId="7" xfId="0" applyNumberFormat="1" applyFont="1" applyFill="1" applyBorder="1" applyAlignment="1">
      <alignment horizontal="center"/>
    </xf>
    <xf numFmtId="1" fontId="4" fillId="3" borderId="37" xfId="0" applyNumberFormat="1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0" fontId="4" fillId="0" borderId="2" xfId="0" applyFont="1" applyBorder="1"/>
    <xf numFmtId="0" fontId="4" fillId="0" borderId="2" xfId="0" applyFont="1" applyBorder="1" applyAlignment="1">
      <alignment horizontal="left"/>
    </xf>
    <xf numFmtId="0" fontId="4" fillId="0" borderId="3" xfId="0" applyFont="1" applyBorder="1"/>
    <xf numFmtId="166" fontId="3" fillId="0" borderId="0" xfId="0" applyNumberFormat="1" applyFont="1"/>
    <xf numFmtId="0" fontId="3" fillId="0" borderId="25" xfId="0" applyFont="1" applyBorder="1" applyAlignment="1">
      <alignment horizontal="center"/>
    </xf>
    <xf numFmtId="0" fontId="4" fillId="0" borderId="25" xfId="0" applyFont="1" applyBorder="1" applyAlignment="1">
      <alignment horizontal="center"/>
    </xf>
    <xf numFmtId="0" fontId="3" fillId="0" borderId="36" xfId="0" applyFont="1" applyBorder="1" applyAlignment="1">
      <alignment horizontal="center"/>
    </xf>
    <xf numFmtId="0" fontId="3" fillId="0" borderId="29" xfId="0" applyFont="1" applyBorder="1" applyAlignment="1">
      <alignment horizontal="center"/>
    </xf>
    <xf numFmtId="0" fontId="3" fillId="0" borderId="27" xfId="0" applyFont="1" applyBorder="1" applyAlignment="1">
      <alignment horizontal="center"/>
    </xf>
    <xf numFmtId="0" fontId="4" fillId="0" borderId="27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4" fillId="0" borderId="10" xfId="0" applyFont="1" applyBorder="1"/>
    <xf numFmtId="166" fontId="3" fillId="0" borderId="9" xfId="1" applyNumberFormat="1" applyFont="1" applyBorder="1"/>
    <xf numFmtId="166" fontId="3" fillId="0" borderId="24" xfId="1" applyNumberFormat="1" applyFont="1" applyBorder="1" applyAlignment="1">
      <alignment horizontal="center" vertical="center"/>
    </xf>
    <xf numFmtId="167" fontId="3" fillId="0" borderId="9" xfId="2" applyNumberFormat="1" applyFont="1" applyBorder="1"/>
    <xf numFmtId="0" fontId="4" fillId="0" borderId="33" xfId="0" applyFont="1" applyBorder="1"/>
    <xf numFmtId="166" fontId="3" fillId="0" borderId="11" xfId="1" applyNumberFormat="1" applyFont="1" applyBorder="1"/>
    <xf numFmtId="166" fontId="3" fillId="0" borderId="32" xfId="1" applyNumberFormat="1" applyFont="1" applyBorder="1" applyAlignment="1">
      <alignment horizontal="center" vertical="center"/>
    </xf>
    <xf numFmtId="0" fontId="11" fillId="0" borderId="0" xfId="0" applyFont="1"/>
    <xf numFmtId="0" fontId="4" fillId="0" borderId="0" xfId="0" applyFont="1" applyAlignment="1">
      <alignment horizontal="center" vertical="center"/>
    </xf>
    <xf numFmtId="0" fontId="11" fillId="0" borderId="6" xfId="0" applyFont="1" applyBorder="1"/>
    <xf numFmtId="0" fontId="11" fillId="2" borderId="5" xfId="0" applyFont="1" applyFill="1" applyBorder="1"/>
    <xf numFmtId="0" fontId="11" fillId="2" borderId="2" xfId="0" applyFont="1" applyFill="1" applyBorder="1"/>
    <xf numFmtId="0" fontId="11" fillId="2" borderId="3" xfId="0" applyFont="1" applyFill="1" applyBorder="1"/>
    <xf numFmtId="0" fontId="11" fillId="0" borderId="4" xfId="0" applyFont="1" applyBorder="1"/>
    <xf numFmtId="0" fontId="11" fillId="0" borderId="29" xfId="0" applyFont="1" applyBorder="1" applyAlignment="1">
      <alignment horizontal="center"/>
    </xf>
    <xf numFmtId="0" fontId="11" fillId="2" borderId="0" xfId="0" applyFont="1" applyFill="1" applyAlignment="1">
      <alignment horizontal="center"/>
    </xf>
    <xf numFmtId="0" fontId="11" fillId="0" borderId="29" xfId="0" applyFont="1" applyBorder="1"/>
    <xf numFmtId="0" fontId="11" fillId="2" borderId="0" xfId="0" applyFont="1" applyFill="1"/>
    <xf numFmtId="0" fontId="11" fillId="0" borderId="10" xfId="0" applyFont="1" applyBorder="1" applyAlignment="1">
      <alignment vertical="center"/>
    </xf>
    <xf numFmtId="0" fontId="11" fillId="2" borderId="12" xfId="0" applyFont="1" applyFill="1" applyBorder="1" applyAlignment="1">
      <alignment horizontal="left" vertical="center"/>
    </xf>
    <xf numFmtId="0" fontId="11" fillId="2" borderId="9" xfId="0" applyFont="1" applyFill="1" applyBorder="1" applyAlignment="1">
      <alignment horizontal="left" vertical="center"/>
    </xf>
    <xf numFmtId="0" fontId="11" fillId="2" borderId="5" xfId="0" applyFont="1" applyFill="1" applyBorder="1" applyAlignment="1">
      <alignment vertical="center"/>
    </xf>
    <xf numFmtId="9" fontId="11" fillId="0" borderId="10" xfId="0" applyNumberFormat="1" applyFont="1" applyBorder="1" applyAlignment="1">
      <alignment horizontal="left"/>
    </xf>
    <xf numFmtId="0" fontId="11" fillId="2" borderId="12" xfId="0" applyFont="1" applyFill="1" applyBorder="1"/>
    <xf numFmtId="0" fontId="11" fillId="2" borderId="9" xfId="0" applyFont="1" applyFill="1" applyBorder="1"/>
    <xf numFmtId="0" fontId="11" fillId="0" borderId="10" xfId="0" applyFont="1" applyBorder="1"/>
    <xf numFmtId="0" fontId="11" fillId="2" borderId="12" xfId="0" applyFont="1" applyFill="1" applyBorder="1" applyAlignment="1">
      <alignment horizontal="left"/>
    </xf>
    <xf numFmtId="0" fontId="11" fillId="2" borderId="9" xfId="0" applyFont="1" applyFill="1" applyBorder="1" applyAlignment="1">
      <alignment horizontal="left"/>
    </xf>
    <xf numFmtId="0" fontId="11" fillId="2" borderId="9" xfId="0" applyFont="1" applyFill="1" applyBorder="1" applyAlignment="1">
      <alignment vertical="center"/>
    </xf>
    <xf numFmtId="0" fontId="11" fillId="0" borderId="10" xfId="0" applyFont="1" applyBorder="1" applyAlignment="1">
      <alignment horizontal="left" vertical="center"/>
    </xf>
    <xf numFmtId="0" fontId="11" fillId="0" borderId="10" xfId="0" applyFont="1" applyBorder="1" applyAlignment="1">
      <alignment vertical="center" wrapText="1"/>
    </xf>
    <xf numFmtId="0" fontId="11" fillId="2" borderId="12" xfId="0" applyFont="1" applyFill="1" applyBorder="1" applyAlignment="1">
      <alignment vertical="center"/>
    </xf>
    <xf numFmtId="0" fontId="11" fillId="2" borderId="5" xfId="0" applyFont="1" applyFill="1" applyBorder="1" applyAlignment="1">
      <alignment vertical="center" wrapText="1"/>
    </xf>
    <xf numFmtId="0" fontId="11" fillId="0" borderId="33" xfId="0" applyFont="1" applyBorder="1"/>
    <xf numFmtId="0" fontId="11" fillId="2" borderId="11" xfId="0" applyFont="1" applyFill="1" applyBorder="1"/>
    <xf numFmtId="0" fontId="11" fillId="2" borderId="8" xfId="0" applyFont="1" applyFill="1" applyBorder="1"/>
    <xf numFmtId="0" fontId="3" fillId="0" borderId="0" xfId="0" applyFont="1" applyAlignment="1">
      <alignment horizontal="center"/>
    </xf>
    <xf numFmtId="0" fontId="3" fillId="0" borderId="1" xfId="0" applyFont="1" applyBorder="1"/>
    <xf numFmtId="0" fontId="4" fillId="0" borderId="3" xfId="0" applyFont="1" applyBorder="1" applyAlignment="1">
      <alignment horizontal="right"/>
    </xf>
    <xf numFmtId="1" fontId="11" fillId="0" borderId="0" xfId="0" applyNumberFormat="1" applyFont="1"/>
    <xf numFmtId="1" fontId="4" fillId="0" borderId="8" xfId="0" applyNumberFormat="1" applyFont="1" applyBorder="1" applyAlignment="1">
      <alignment horizontal="center"/>
    </xf>
    <xf numFmtId="1" fontId="4" fillId="0" borderId="20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2" borderId="19" xfId="0" applyFont="1" applyFill="1" applyBorder="1" applyAlignment="1">
      <alignment horizontal="center" wrapText="1"/>
    </xf>
    <xf numFmtId="1" fontId="4" fillId="0" borderId="21" xfId="0" applyNumberFormat="1" applyFont="1" applyBorder="1" applyAlignment="1">
      <alignment horizontal="center"/>
    </xf>
    <xf numFmtId="1" fontId="4" fillId="2" borderId="27" xfId="0" applyNumberFormat="1" applyFont="1" applyFill="1" applyBorder="1" applyAlignment="1">
      <alignment horizontal="center"/>
    </xf>
    <xf numFmtId="1" fontId="4" fillId="2" borderId="18" xfId="0" applyNumberFormat="1" applyFont="1" applyFill="1" applyBorder="1" applyAlignment="1">
      <alignment horizontal="center"/>
    </xf>
    <xf numFmtId="0" fontId="4" fillId="0" borderId="4" xfId="0" applyFont="1" applyBorder="1" applyAlignment="1">
      <alignment horizontal="center"/>
    </xf>
    <xf numFmtId="1" fontId="3" fillId="0" borderId="21" xfId="0" applyNumberFormat="1" applyFont="1" applyBorder="1" applyAlignment="1">
      <alignment horizontal="center"/>
    </xf>
    <xf numFmtId="0" fontId="3" fillId="2" borderId="26" xfId="0" applyFont="1" applyFill="1" applyBorder="1" applyAlignment="1">
      <alignment horizontal="center"/>
    </xf>
    <xf numFmtId="0" fontId="3" fillId="2" borderId="18" xfId="0" applyFont="1" applyFill="1" applyBorder="1" applyAlignment="1">
      <alignment horizontal="center"/>
    </xf>
    <xf numFmtId="0" fontId="4" fillId="0" borderId="16" xfId="0" applyFont="1" applyBorder="1" applyAlignment="1">
      <alignment vertical="center"/>
    </xf>
    <xf numFmtId="0" fontId="4" fillId="0" borderId="22" xfId="0" applyFont="1" applyBorder="1" applyAlignment="1">
      <alignment horizontal="center" vertical="center"/>
    </xf>
    <xf numFmtId="0" fontId="4" fillId="2" borderId="9" xfId="0" applyFont="1" applyFill="1" applyBorder="1" applyAlignment="1">
      <alignment horizontal="center" vertical="center"/>
    </xf>
    <xf numFmtId="1" fontId="4" fillId="2" borderId="12" xfId="0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16" xfId="0" applyFont="1" applyBorder="1" applyAlignment="1">
      <alignment horizontal="right"/>
    </xf>
    <xf numFmtId="0" fontId="3" fillId="0" borderId="22" xfId="0" applyFont="1" applyBorder="1" applyAlignment="1">
      <alignment horizontal="center"/>
    </xf>
    <xf numFmtId="0" fontId="3" fillId="2" borderId="9" xfId="0" applyFont="1" applyFill="1" applyBorder="1" applyAlignment="1">
      <alignment horizontal="center"/>
    </xf>
    <xf numFmtId="1" fontId="3" fillId="2" borderId="12" xfId="0" applyNumberFormat="1" applyFont="1" applyFill="1" applyBorder="1" applyAlignment="1">
      <alignment horizontal="center"/>
    </xf>
    <xf numFmtId="1" fontId="3" fillId="2" borderId="9" xfId="0" applyNumberFormat="1" applyFont="1" applyFill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164" fontId="3" fillId="0" borderId="22" xfId="0" applyNumberFormat="1" applyFont="1" applyBorder="1" applyAlignment="1">
      <alignment horizontal="center"/>
    </xf>
    <xf numFmtId="164" fontId="3" fillId="2" borderId="9" xfId="0" applyNumberFormat="1" applyFont="1" applyFill="1" applyBorder="1" applyAlignment="1">
      <alignment horizontal="center"/>
    </xf>
    <xf numFmtId="164" fontId="4" fillId="0" borderId="22" xfId="0" applyNumberFormat="1" applyFont="1" applyBorder="1" applyAlignment="1">
      <alignment horizontal="center" vertical="center"/>
    </xf>
    <xf numFmtId="164" fontId="4" fillId="2" borderId="9" xfId="0" applyNumberFormat="1" applyFont="1" applyFill="1" applyBorder="1" applyAlignment="1">
      <alignment horizontal="center" vertical="center"/>
    </xf>
    <xf numFmtId="0" fontId="4" fillId="0" borderId="4" xfId="0" applyFont="1" applyBorder="1"/>
    <xf numFmtId="164" fontId="4" fillId="0" borderId="21" xfId="0" applyNumberFormat="1" applyFont="1" applyBorder="1" applyAlignment="1">
      <alignment horizontal="center"/>
    </xf>
    <xf numFmtId="0" fontId="3" fillId="2" borderId="0" xfId="0" applyFont="1" applyFill="1" applyAlignment="1">
      <alignment horizontal="center"/>
    </xf>
    <xf numFmtId="164" fontId="4" fillId="2" borderId="12" xfId="0" applyNumberFormat="1" applyFont="1" applyFill="1" applyBorder="1" applyAlignment="1">
      <alignment horizontal="center" vertical="center"/>
    </xf>
    <xf numFmtId="0" fontId="3" fillId="0" borderId="16" xfId="0" applyFont="1" applyBorder="1" applyAlignment="1">
      <alignment horizontal="right" vertical="center"/>
    </xf>
    <xf numFmtId="0" fontId="3" fillId="0" borderId="22" xfId="0" applyFont="1" applyBorder="1" applyAlignment="1">
      <alignment horizontal="center" vertical="center"/>
    </xf>
    <xf numFmtId="164" fontId="3" fillId="2" borderId="13" xfId="0" applyNumberFormat="1" applyFont="1" applyFill="1" applyBorder="1" applyAlignment="1">
      <alignment horizontal="center" vertical="center"/>
    </xf>
    <xf numFmtId="1" fontId="3" fillId="2" borderId="12" xfId="0" applyNumberFormat="1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 vertical="center"/>
    </xf>
    <xf numFmtId="0" fontId="3" fillId="0" borderId="17" xfId="0" applyFont="1" applyBorder="1" applyAlignment="1">
      <alignment horizontal="right"/>
    </xf>
    <xf numFmtId="164" fontId="3" fillId="0" borderId="23" xfId="0" applyNumberFormat="1" applyFont="1" applyBorder="1" applyAlignment="1">
      <alignment horizontal="center"/>
    </xf>
    <xf numFmtId="0" fontId="3" fillId="2" borderId="14" xfId="0" applyFont="1" applyFill="1" applyBorder="1" applyAlignment="1">
      <alignment horizontal="center"/>
    </xf>
    <xf numFmtId="1" fontId="3" fillId="2" borderId="11" xfId="0" applyNumberFormat="1" applyFont="1" applyFill="1" applyBorder="1" applyAlignment="1">
      <alignment horizontal="center"/>
    </xf>
    <xf numFmtId="0" fontId="3" fillId="2" borderId="11" xfId="0" applyFont="1" applyFill="1" applyBorder="1" applyAlignment="1">
      <alignment horizontal="center"/>
    </xf>
    <xf numFmtId="0" fontId="15" fillId="0" borderId="0" xfId="0" applyFont="1"/>
    <xf numFmtId="49" fontId="16" fillId="0" borderId="1" xfId="0" applyNumberFormat="1" applyFont="1" applyBorder="1" applyAlignment="1">
      <alignment horizontal="left" vertical="center"/>
    </xf>
    <xf numFmtId="49" fontId="15" fillId="0" borderId="2" xfId="0" applyNumberFormat="1" applyFont="1" applyBorder="1"/>
    <xf numFmtId="49" fontId="15" fillId="0" borderId="3" xfId="0" applyNumberFormat="1" applyFont="1" applyBorder="1"/>
    <xf numFmtId="0" fontId="18" fillId="0" borderId="1" xfId="0" applyFont="1" applyBorder="1" applyAlignment="1">
      <alignment horizontal="center" vertical="top"/>
    </xf>
    <xf numFmtId="1" fontId="18" fillId="0" borderId="20" xfId="0" applyNumberFormat="1" applyFont="1" applyBorder="1" applyAlignment="1">
      <alignment horizontal="center" wrapText="1"/>
    </xf>
    <xf numFmtId="0" fontId="18" fillId="2" borderId="19" xfId="0" applyFont="1" applyFill="1" applyBorder="1" applyAlignment="1">
      <alignment horizontal="center" wrapText="1"/>
    </xf>
    <xf numFmtId="9" fontId="13" fillId="0" borderId="10" xfId="0" applyNumberFormat="1" applyFont="1" applyBorder="1" applyAlignment="1">
      <alignment horizontal="left"/>
    </xf>
    <xf numFmtId="49" fontId="16" fillId="0" borderId="4" xfId="0" applyNumberFormat="1" applyFont="1" applyBorder="1"/>
    <xf numFmtId="49" fontId="16" fillId="0" borderId="9" xfId="0" applyNumberFormat="1" applyFont="1" applyBorder="1"/>
    <xf numFmtId="165" fontId="16" fillId="0" borderId="24" xfId="0" applyNumberFormat="1" applyFont="1" applyBorder="1"/>
    <xf numFmtId="0" fontId="18" fillId="0" borderId="16" xfId="0" applyFont="1" applyBorder="1"/>
    <xf numFmtId="0" fontId="18" fillId="0" borderId="22" xfId="0" applyFont="1" applyBorder="1" applyAlignment="1">
      <alignment horizontal="center"/>
    </xf>
    <xf numFmtId="0" fontId="18" fillId="2" borderId="9" xfId="0" applyFont="1" applyFill="1" applyBorder="1" applyAlignment="1">
      <alignment horizontal="center"/>
    </xf>
    <xf numFmtId="49" fontId="17" fillId="0" borderId="10" xfId="0" applyNumberFormat="1" applyFont="1" applyBorder="1"/>
    <xf numFmtId="1" fontId="17" fillId="0" borderId="9" xfId="0" applyNumberFormat="1" applyFont="1" applyBorder="1"/>
    <xf numFmtId="164" fontId="17" fillId="0" borderId="24" xfId="0" applyNumberFormat="1" applyFont="1" applyBorder="1"/>
    <xf numFmtId="0" fontId="18" fillId="0" borderId="16" xfId="0" applyFont="1" applyBorder="1" applyAlignment="1">
      <alignment horizontal="right"/>
    </xf>
    <xf numFmtId="1" fontId="16" fillId="0" borderId="9" xfId="0" applyNumberFormat="1" applyFont="1" applyBorder="1"/>
    <xf numFmtId="164" fontId="16" fillId="0" borderId="24" xfId="0" applyNumberFormat="1" applyFont="1" applyBorder="1"/>
    <xf numFmtId="0" fontId="15" fillId="0" borderId="16" xfId="0" applyFont="1" applyBorder="1" applyAlignment="1">
      <alignment horizontal="right"/>
    </xf>
    <xf numFmtId="0" fontId="15" fillId="0" borderId="22" xfId="0" applyFont="1" applyBorder="1" applyAlignment="1">
      <alignment horizontal="center"/>
    </xf>
    <xf numFmtId="0" fontId="15" fillId="2" borderId="9" xfId="0" applyFont="1" applyFill="1" applyBorder="1" applyAlignment="1">
      <alignment horizontal="center"/>
    </xf>
    <xf numFmtId="1" fontId="17" fillId="0" borderId="24" xfId="0" applyNumberFormat="1" applyFont="1" applyBorder="1"/>
    <xf numFmtId="164" fontId="18" fillId="2" borderId="9" xfId="0" applyNumberFormat="1" applyFont="1" applyFill="1" applyBorder="1" applyAlignment="1">
      <alignment horizontal="center"/>
    </xf>
    <xf numFmtId="1" fontId="16" fillId="0" borderId="24" xfId="0" applyNumberFormat="1" applyFont="1" applyBorder="1"/>
    <xf numFmtId="164" fontId="15" fillId="0" borderId="22" xfId="0" applyNumberFormat="1" applyFont="1" applyBorder="1" applyAlignment="1">
      <alignment horizontal="center"/>
    </xf>
    <xf numFmtId="164" fontId="15" fillId="2" borderId="9" xfId="0" applyNumberFormat="1" applyFont="1" applyFill="1" applyBorder="1" applyAlignment="1">
      <alignment horizontal="center"/>
    </xf>
    <xf numFmtId="49" fontId="19" fillId="0" borderId="4" xfId="0" applyNumberFormat="1" applyFont="1" applyBorder="1" applyAlignment="1">
      <alignment horizontal="left" vertical="top" wrapText="1"/>
    </xf>
    <xf numFmtId="49" fontId="15" fillId="0" borderId="0" xfId="0" applyNumberFormat="1" applyFont="1"/>
    <xf numFmtId="49" fontId="15" fillId="0" borderId="5" xfId="0" applyNumberFormat="1" applyFont="1" applyBorder="1"/>
    <xf numFmtId="49" fontId="19" fillId="0" borderId="6" xfId="0" applyNumberFormat="1" applyFont="1" applyBorder="1"/>
    <xf numFmtId="49" fontId="15" fillId="0" borderId="7" xfId="0" applyNumberFormat="1" applyFont="1" applyBorder="1"/>
    <xf numFmtId="49" fontId="15" fillId="0" borderId="8" xfId="0" applyNumberFormat="1" applyFont="1" applyBorder="1"/>
    <xf numFmtId="164" fontId="18" fillId="0" borderId="22" xfId="0" applyNumberFormat="1" applyFont="1" applyBorder="1" applyAlignment="1">
      <alignment horizontal="center"/>
    </xf>
    <xf numFmtId="0" fontId="18" fillId="0" borderId="0" xfId="0" applyFont="1"/>
    <xf numFmtId="0" fontId="18" fillId="0" borderId="16" xfId="0" applyFont="1" applyBorder="1" applyAlignment="1">
      <alignment vertical="center"/>
    </xf>
    <xf numFmtId="1" fontId="18" fillId="0" borderId="22" xfId="0" applyNumberFormat="1" applyFont="1" applyBorder="1" applyAlignment="1">
      <alignment horizontal="center"/>
    </xf>
    <xf numFmtId="9" fontId="11" fillId="0" borderId="10" xfId="0" applyNumberFormat="1" applyFont="1" applyBorder="1" applyAlignment="1">
      <alignment horizontal="left" vertical="center"/>
    </xf>
    <xf numFmtId="0" fontId="4" fillId="0" borderId="1" xfId="0" applyFont="1" applyBorder="1" applyAlignment="1">
      <alignment horizontal="center" vertical="top"/>
    </xf>
    <xf numFmtId="1" fontId="4" fillId="0" borderId="20" xfId="0" applyNumberFormat="1" applyFont="1" applyBorder="1" applyAlignment="1">
      <alignment horizontal="center" wrapText="1"/>
    </xf>
    <xf numFmtId="0" fontId="4" fillId="0" borderId="16" xfId="0" applyFont="1" applyBorder="1"/>
    <xf numFmtId="164" fontId="4" fillId="0" borderId="22" xfId="0" applyNumberFormat="1" applyFont="1" applyBorder="1" applyAlignment="1">
      <alignment horizontal="center"/>
    </xf>
    <xf numFmtId="164" fontId="4" fillId="2" borderId="9" xfId="0" applyNumberFormat="1" applyFont="1" applyFill="1" applyBorder="1" applyAlignment="1">
      <alignment horizontal="center"/>
    </xf>
    <xf numFmtId="0" fontId="4" fillId="0" borderId="16" xfId="0" applyFont="1" applyBorder="1" applyAlignment="1">
      <alignment horizontal="right"/>
    </xf>
    <xf numFmtId="0" fontId="4" fillId="0" borderId="22" xfId="0" applyFont="1" applyBorder="1" applyAlignment="1">
      <alignment horizontal="center"/>
    </xf>
    <xf numFmtId="1" fontId="4" fillId="2" borderId="13" xfId="0" applyNumberFormat="1" applyFont="1" applyFill="1" applyBorder="1" applyAlignment="1">
      <alignment horizontal="center"/>
    </xf>
    <xf numFmtId="164" fontId="3" fillId="2" borderId="13" xfId="0" applyNumberFormat="1" applyFont="1" applyFill="1" applyBorder="1" applyAlignment="1">
      <alignment horizontal="center"/>
    </xf>
    <xf numFmtId="0" fontId="4" fillId="2" borderId="13" xfId="0" applyFont="1" applyFill="1" applyBorder="1" applyAlignment="1">
      <alignment horizontal="center"/>
    </xf>
    <xf numFmtId="164" fontId="3" fillId="2" borderId="14" xfId="0" applyNumberFormat="1" applyFont="1" applyFill="1" applyBorder="1" applyAlignment="1">
      <alignment horizontal="center"/>
    </xf>
    <xf numFmtId="1" fontId="3" fillId="0" borderId="0" xfId="0" applyNumberFormat="1" applyFont="1"/>
    <xf numFmtId="0" fontId="4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3" fillId="0" borderId="27" xfId="0" applyFont="1" applyBorder="1"/>
    <xf numFmtId="1" fontId="4" fillId="0" borderId="27" xfId="0" applyNumberFormat="1" applyFont="1" applyBorder="1" applyAlignment="1">
      <alignment horizontal="center"/>
    </xf>
    <xf numFmtId="1" fontId="4" fillId="0" borderId="0" xfId="0" applyNumberFormat="1" applyFont="1" applyAlignment="1">
      <alignment horizontal="center"/>
    </xf>
    <xf numFmtId="1" fontId="3" fillId="0" borderId="0" xfId="0" applyNumberFormat="1" applyFont="1" applyAlignment="1">
      <alignment horizontal="center"/>
    </xf>
    <xf numFmtId="0" fontId="4" fillId="4" borderId="0" xfId="0" applyFont="1" applyFill="1"/>
    <xf numFmtId="0" fontId="4" fillId="4" borderId="27" xfId="0" applyFont="1" applyFill="1" applyBorder="1" applyAlignment="1">
      <alignment horizontal="center"/>
    </xf>
    <xf numFmtId="0" fontId="11" fillId="4" borderId="0" xfId="0" applyFont="1" applyFill="1" applyAlignment="1">
      <alignment horizontal="center"/>
    </xf>
    <xf numFmtId="1" fontId="3" fillId="4" borderId="0" xfId="0" applyNumberFormat="1" applyFont="1" applyFill="1" applyAlignment="1">
      <alignment horizontal="center"/>
    </xf>
    <xf numFmtId="0" fontId="3" fillId="4" borderId="27" xfId="0" applyFont="1" applyFill="1" applyBorder="1"/>
    <xf numFmtId="0" fontId="3" fillId="3" borderId="0" xfId="0" applyFont="1" applyFill="1" applyAlignment="1">
      <alignment horizontal="right"/>
    </xf>
    <xf numFmtId="0" fontId="3" fillId="3" borderId="27" xfId="0" applyFont="1" applyFill="1" applyBorder="1" applyAlignment="1">
      <alignment horizontal="center"/>
    </xf>
    <xf numFmtId="0" fontId="3" fillId="3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4" fillId="3" borderId="0" xfId="0" applyFont="1" applyFill="1" applyAlignment="1">
      <alignment horizontal="center"/>
    </xf>
    <xf numFmtId="0" fontId="3" fillId="3" borderId="0" xfId="0" applyFont="1" applyFill="1"/>
    <xf numFmtId="0" fontId="3" fillId="3" borderId="27" xfId="0" applyFont="1" applyFill="1" applyBorder="1"/>
    <xf numFmtId="164" fontId="3" fillId="3" borderId="27" xfId="0" applyNumberFormat="1" applyFont="1" applyFill="1" applyBorder="1" applyAlignment="1">
      <alignment horizontal="center"/>
    </xf>
    <xf numFmtId="0" fontId="4" fillId="0" borderId="0" xfId="0" applyFont="1" applyAlignment="1">
      <alignment horizontal="left"/>
    </xf>
    <xf numFmtId="1" fontId="3" fillId="3" borderId="27" xfId="0" applyNumberFormat="1" applyFont="1" applyFill="1" applyBorder="1" applyAlignment="1">
      <alignment horizontal="center"/>
    </xf>
    <xf numFmtId="0" fontId="4" fillId="3" borderId="0" xfId="0" applyFont="1" applyFill="1"/>
    <xf numFmtId="0" fontId="3" fillId="0" borderId="0" xfId="0" applyFont="1" applyAlignment="1">
      <alignment horizontal="right"/>
    </xf>
    <xf numFmtId="164" fontId="3" fillId="0" borderId="27" xfId="0" applyNumberFormat="1" applyFont="1" applyBorder="1" applyAlignment="1">
      <alignment horizontal="center"/>
    </xf>
    <xf numFmtId="164" fontId="4" fillId="0" borderId="0" xfId="0" applyNumberFormat="1" applyFont="1" applyAlignment="1">
      <alignment horizontal="center"/>
    </xf>
    <xf numFmtId="164" fontId="11" fillId="4" borderId="0" xfId="0" applyNumberFormat="1" applyFont="1" applyFill="1" applyAlignment="1">
      <alignment horizontal="center"/>
    </xf>
    <xf numFmtId="1" fontId="3" fillId="4" borderId="27" xfId="0" applyNumberFormat="1" applyFont="1" applyFill="1" applyBorder="1" applyAlignment="1">
      <alignment horizontal="center"/>
    </xf>
    <xf numFmtId="0" fontId="11" fillId="0" borderId="27" xfId="0" quotePrefix="1" applyFont="1" applyBorder="1" applyAlignment="1">
      <alignment horizontal="center"/>
    </xf>
    <xf numFmtId="1" fontId="4" fillId="4" borderId="0" xfId="0" applyNumberFormat="1" applyFont="1" applyFill="1" applyAlignment="1">
      <alignment horizontal="center"/>
    </xf>
    <xf numFmtId="0" fontId="3" fillId="4" borderId="0" xfId="0" applyFont="1" applyFill="1" applyAlignment="1">
      <alignment horizontal="center"/>
    </xf>
    <xf numFmtId="164" fontId="3" fillId="0" borderId="0" xfId="0" applyNumberFormat="1" applyFont="1" applyAlignment="1">
      <alignment horizontal="center"/>
    </xf>
    <xf numFmtId="0" fontId="11" fillId="0" borderId="0" xfId="0" applyFont="1" applyAlignment="1">
      <alignment horizontal="right"/>
    </xf>
    <xf numFmtId="0" fontId="3" fillId="3" borderId="26" xfId="0" applyFont="1" applyFill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3" fillId="0" borderId="2" xfId="0" applyFont="1" applyBorder="1"/>
    <xf numFmtId="0" fontId="20" fillId="0" borderId="0" xfId="0" applyFont="1"/>
    <xf numFmtId="0" fontId="3" fillId="0" borderId="4" xfId="0" applyFont="1" applyBorder="1" applyAlignment="1">
      <alignment horizontal="right"/>
    </xf>
    <xf numFmtId="164" fontId="3" fillId="0" borderId="0" xfId="0" applyNumberFormat="1" applyFont="1"/>
    <xf numFmtId="0" fontId="3" fillId="0" borderId="7" xfId="0" applyFont="1" applyBorder="1"/>
    <xf numFmtId="0" fontId="3" fillId="0" borderId="6" xfId="0" applyFont="1" applyBorder="1"/>
    <xf numFmtId="0" fontId="4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9" fontId="11" fillId="0" borderId="0" xfId="2" applyFont="1"/>
    <xf numFmtId="2" fontId="4" fillId="0" borderId="0" xfId="0" applyNumberFormat="1" applyFont="1" applyAlignment="1">
      <alignment horizontal="center"/>
    </xf>
    <xf numFmtId="9" fontId="3" fillId="0" borderId="0" xfId="0" applyNumberFormat="1" applyFont="1"/>
    <xf numFmtId="0" fontId="3" fillId="0" borderId="0" xfId="0" applyFont="1" applyAlignment="1">
      <alignment horizontal="left"/>
    </xf>
    <xf numFmtId="9" fontId="3" fillId="0" borderId="0" xfId="2" applyFont="1"/>
    <xf numFmtId="1" fontId="7" fillId="6" borderId="8" xfId="0" applyNumberFormat="1" applyFont="1" applyFill="1" applyBorder="1" applyAlignment="1">
      <alignment horizontal="center" vertical="center"/>
    </xf>
    <xf numFmtId="0" fontId="3" fillId="0" borderId="31" xfId="0" applyFont="1" applyBorder="1"/>
    <xf numFmtId="0" fontId="4" fillId="0" borderId="27" xfId="0" applyFont="1" applyBorder="1"/>
    <xf numFmtId="164" fontId="4" fillId="0" borderId="27" xfId="0" applyNumberFormat="1" applyFont="1" applyBorder="1" applyAlignment="1">
      <alignment horizontal="center"/>
    </xf>
    <xf numFmtId="166" fontId="4" fillId="0" borderId="0" xfId="0" applyNumberFormat="1" applyFont="1"/>
    <xf numFmtId="0" fontId="5" fillId="6" borderId="39" xfId="0" applyFont="1" applyFill="1" applyBorder="1" applyAlignment="1">
      <alignment horizontal="left" vertical="center" wrapText="1"/>
    </xf>
    <xf numFmtId="0" fontId="9" fillId="0" borderId="39" xfId="0" applyFont="1" applyBorder="1" applyAlignment="1">
      <alignment horizontal="left" vertical="center" wrapText="1" indent="3"/>
    </xf>
    <xf numFmtId="0" fontId="8" fillId="5" borderId="39" xfId="0" applyFont="1" applyFill="1" applyBorder="1" applyAlignment="1">
      <alignment horizontal="left" vertical="center" wrapText="1" indent="2"/>
    </xf>
    <xf numFmtId="1" fontId="5" fillId="6" borderId="8" xfId="0" applyNumberFormat="1" applyFont="1" applyFill="1" applyBorder="1" applyAlignment="1">
      <alignment horizontal="center" vertical="center" wrapText="1"/>
    </xf>
    <xf numFmtId="1" fontId="7" fillId="6" borderId="8" xfId="0" applyNumberFormat="1" applyFont="1" applyFill="1" applyBorder="1" applyAlignment="1">
      <alignment horizontal="center" vertical="center" wrapText="1"/>
    </xf>
    <xf numFmtId="0" fontId="5" fillId="7" borderId="39" xfId="0" applyFont="1" applyFill="1" applyBorder="1" applyAlignment="1">
      <alignment horizontal="left" vertical="center" wrapText="1" indent="1"/>
    </xf>
    <xf numFmtId="1" fontId="5" fillId="7" borderId="8" xfId="0" applyNumberFormat="1" applyFont="1" applyFill="1" applyBorder="1" applyAlignment="1">
      <alignment horizontal="center" vertical="center"/>
    </xf>
    <xf numFmtId="1" fontId="7" fillId="7" borderId="8" xfId="0" applyNumberFormat="1" applyFont="1" applyFill="1" applyBorder="1" applyAlignment="1">
      <alignment horizontal="center" vertical="center"/>
    </xf>
    <xf numFmtId="0" fontId="11" fillId="0" borderId="27" xfId="0" applyFont="1" applyBorder="1" applyAlignment="1">
      <alignment horizontal="right"/>
    </xf>
    <xf numFmtId="9" fontId="13" fillId="3" borderId="26" xfId="0" applyNumberFormat="1" applyFont="1" applyFill="1" applyBorder="1"/>
    <xf numFmtId="0" fontId="23" fillId="0" borderId="0" xfId="3"/>
    <xf numFmtId="0" fontId="22" fillId="0" borderId="0" xfId="3" applyFont="1" applyAlignment="1">
      <alignment horizontal="right"/>
    </xf>
    <xf numFmtId="0" fontId="22" fillId="0" borderId="0" xfId="3" applyFont="1" applyAlignment="1">
      <alignment vertical="center" wrapText="1"/>
    </xf>
    <xf numFmtId="0" fontId="22" fillId="0" borderId="0" xfId="3" applyFont="1" applyAlignment="1">
      <alignment vertical="center"/>
    </xf>
    <xf numFmtId="169" fontId="22" fillId="0" borderId="0" xfId="3" applyNumberFormat="1" applyFont="1"/>
    <xf numFmtId="0" fontId="26" fillId="0" borderId="0" xfId="3" applyFont="1" applyAlignment="1">
      <alignment vertical="center" wrapText="1"/>
    </xf>
    <xf numFmtId="166" fontId="3" fillId="0" borderId="9" xfId="1" applyNumberFormat="1" applyFont="1" applyFill="1" applyBorder="1"/>
    <xf numFmtId="0" fontId="27" fillId="0" borderId="0" xfId="0" applyFont="1"/>
    <xf numFmtId="166" fontId="4" fillId="0" borderId="9" xfId="1" applyNumberFormat="1" applyFont="1" applyBorder="1"/>
    <xf numFmtId="167" fontId="4" fillId="0" borderId="9" xfId="2" applyNumberFormat="1" applyFont="1" applyBorder="1"/>
    <xf numFmtId="166" fontId="3" fillId="0" borderId="9" xfId="1" applyNumberFormat="1" applyFont="1" applyBorder="1" applyAlignment="1">
      <alignment horizontal="center" vertical="center"/>
    </xf>
    <xf numFmtId="166" fontId="3" fillId="0" borderId="11" xfId="1" applyNumberFormat="1" applyFont="1" applyBorder="1" applyAlignment="1">
      <alignment horizontal="center" vertical="center"/>
    </xf>
    <xf numFmtId="167" fontId="4" fillId="0" borderId="11" xfId="2" applyNumberFormat="1" applyFont="1" applyBorder="1"/>
    <xf numFmtId="166" fontId="4" fillId="0" borderId="11" xfId="1" applyNumberFormat="1" applyFont="1" applyBorder="1"/>
    <xf numFmtId="0" fontId="4" fillId="2" borderId="15" xfId="0" applyFont="1" applyFill="1" applyBorder="1" applyAlignment="1">
      <alignment horizontal="left" wrapText="1"/>
    </xf>
    <xf numFmtId="0" fontId="28" fillId="0" borderId="0" xfId="0" applyFont="1"/>
    <xf numFmtId="0" fontId="27" fillId="0" borderId="0" xfId="0" applyFont="1" applyAlignment="1">
      <alignment horizontal="left" vertical="top" wrapText="1"/>
    </xf>
    <xf numFmtId="164" fontId="28" fillId="0" borderId="0" xfId="0" applyNumberFormat="1" applyFont="1"/>
    <xf numFmtId="0" fontId="29" fillId="0" borderId="0" xfId="0" applyFont="1"/>
    <xf numFmtId="0" fontId="4" fillId="3" borderId="13" xfId="0" applyFont="1" applyFill="1" applyBorder="1" applyAlignment="1">
      <alignment horizontal="center"/>
    </xf>
    <xf numFmtId="0" fontId="3" fillId="3" borderId="14" xfId="0" applyFont="1" applyFill="1" applyBorder="1" applyAlignment="1">
      <alignment horizontal="center"/>
    </xf>
    <xf numFmtId="0" fontId="31" fillId="0" borderId="0" xfId="0" applyFont="1"/>
    <xf numFmtId="0" fontId="32" fillId="0" borderId="0" xfId="0" applyFont="1"/>
    <xf numFmtId="0" fontId="30" fillId="0" borderId="0" xfId="0" applyFont="1"/>
    <xf numFmtId="0" fontId="7" fillId="0" borderId="0" xfId="0" applyFont="1"/>
    <xf numFmtId="0" fontId="7" fillId="0" borderId="0" xfId="0" applyFont="1" applyAlignment="1">
      <alignment wrapText="1"/>
    </xf>
    <xf numFmtId="0" fontId="5" fillId="0" borderId="0" xfId="0" applyFont="1"/>
    <xf numFmtId="164" fontId="7" fillId="0" borderId="0" xfId="0" applyNumberFormat="1" applyFont="1"/>
    <xf numFmtId="166" fontId="3" fillId="0" borderId="0" xfId="1" applyNumberFormat="1" applyFont="1"/>
    <xf numFmtId="1" fontId="3" fillId="0" borderId="0" xfId="0" applyNumberFormat="1" applyFont="1" applyAlignment="1">
      <alignment horizontal="right"/>
    </xf>
    <xf numFmtId="9" fontId="31" fillId="0" borderId="0" xfId="2" applyFont="1"/>
    <xf numFmtId="0" fontId="33" fillId="0" borderId="0" xfId="9"/>
    <xf numFmtId="0" fontId="3" fillId="0" borderId="34" xfId="0" applyFont="1" applyBorder="1" applyAlignment="1">
      <alignment horizontal="right"/>
    </xf>
    <xf numFmtId="0" fontId="4" fillId="0" borderId="31" xfId="0" applyFont="1" applyBorder="1" applyAlignment="1">
      <alignment horizontal="right"/>
    </xf>
    <xf numFmtId="0" fontId="3" fillId="0" borderId="31" xfId="0" quotePrefix="1" applyFont="1" applyBorder="1" applyAlignment="1">
      <alignment horizontal="center"/>
    </xf>
    <xf numFmtId="1" fontId="4" fillId="0" borderId="31" xfId="0" applyNumberFormat="1" applyFont="1" applyBorder="1" applyAlignment="1">
      <alignment horizontal="center"/>
    </xf>
    <xf numFmtId="0" fontId="4" fillId="0" borderId="31" xfId="0" applyFont="1" applyBorder="1"/>
    <xf numFmtId="0" fontId="3" fillId="0" borderId="43" xfId="0" applyFont="1" applyBorder="1" applyAlignment="1">
      <alignment horizontal="right"/>
    </xf>
    <xf numFmtId="0" fontId="4" fillId="0" borderId="18" xfId="0" applyFont="1" applyBorder="1" applyAlignment="1">
      <alignment horizontal="right"/>
    </xf>
    <xf numFmtId="9" fontId="11" fillId="0" borderId="0" xfId="0" applyNumberFormat="1" applyFont="1" applyAlignment="1">
      <alignment horizontal="center"/>
    </xf>
    <xf numFmtId="0" fontId="3" fillId="0" borderId="40" xfId="0" applyFont="1" applyBorder="1" applyAlignment="1">
      <alignment horizontal="right"/>
    </xf>
    <xf numFmtId="0" fontId="3" fillId="0" borderId="18" xfId="0" applyFont="1" applyBorder="1" applyAlignment="1">
      <alignment horizontal="right"/>
    </xf>
    <xf numFmtId="0" fontId="0" fillId="0" borderId="41" xfId="0" applyBorder="1"/>
    <xf numFmtId="0" fontId="3" fillId="0" borderId="42" xfId="0" applyFont="1" applyBorder="1"/>
    <xf numFmtId="0" fontId="3" fillId="0" borderId="44" xfId="0" applyFont="1" applyBorder="1" applyAlignment="1">
      <alignment horizontal="right"/>
    </xf>
    <xf numFmtId="0" fontId="3" fillId="0" borderId="0" xfId="0" quotePrefix="1" applyFont="1" applyAlignment="1">
      <alignment horizontal="center"/>
    </xf>
    <xf numFmtId="164" fontId="3" fillId="4" borderId="0" xfId="0" applyNumberFormat="1" applyFont="1" applyFill="1" applyAlignment="1">
      <alignment horizontal="center"/>
    </xf>
    <xf numFmtId="0" fontId="11" fillId="0" borderId="3" xfId="0" applyFont="1" applyBorder="1" applyAlignment="1">
      <alignment horizontal="center"/>
    </xf>
    <xf numFmtId="0" fontId="11" fillId="0" borderId="5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1" fillId="0" borderId="7" xfId="0" quotePrefix="1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1" fontId="11" fillId="0" borderId="5" xfId="0" applyNumberFormat="1" applyFont="1" applyBorder="1" applyAlignment="1">
      <alignment horizontal="center"/>
    </xf>
    <xf numFmtId="0" fontId="20" fillId="0" borderId="0" xfId="0" applyFont="1" applyAlignment="1">
      <alignment horizontal="center"/>
    </xf>
    <xf numFmtId="0" fontId="34" fillId="0" borderId="0" xfId="0" applyFont="1" applyAlignment="1">
      <alignment horizontal="center"/>
    </xf>
    <xf numFmtId="0" fontId="35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11" fillId="0" borderId="3" xfId="0" applyFont="1" applyBorder="1"/>
    <xf numFmtId="0" fontId="3" fillId="0" borderId="3" xfId="0" applyFont="1" applyBorder="1"/>
    <xf numFmtId="0" fontId="11" fillId="0" borderId="5" xfId="0" applyFont="1" applyBorder="1"/>
    <xf numFmtId="166" fontId="20" fillId="0" borderId="0" xfId="1" applyNumberFormat="1" applyFont="1"/>
    <xf numFmtId="10" fontId="20" fillId="0" borderId="0" xfId="0" applyNumberFormat="1" applyFont="1"/>
    <xf numFmtId="0" fontId="3" fillId="0" borderId="8" xfId="0" applyFont="1" applyBorder="1"/>
    <xf numFmtId="0" fontId="3" fillId="0" borderId="6" xfId="0" applyFont="1" applyBorder="1" applyAlignment="1">
      <alignment horizontal="right"/>
    </xf>
    <xf numFmtId="166" fontId="3" fillId="0" borderId="6" xfId="1" applyNumberFormat="1" applyFont="1" applyBorder="1" applyAlignment="1">
      <alignment horizontal="right"/>
    </xf>
    <xf numFmtId="1" fontId="3" fillId="0" borderId="7" xfId="0" applyNumberFormat="1" applyFont="1" applyBorder="1"/>
    <xf numFmtId="0" fontId="36" fillId="0" borderId="1" xfId="0" applyFont="1" applyBorder="1"/>
    <xf numFmtId="0" fontId="36" fillId="0" borderId="4" xfId="0" applyFont="1" applyBorder="1"/>
    <xf numFmtId="1" fontId="37" fillId="0" borderId="2" xfId="0" applyNumberFormat="1" applyFont="1" applyBorder="1"/>
    <xf numFmtId="2" fontId="3" fillId="0" borderId="7" xfId="0" applyNumberFormat="1" applyFont="1" applyBorder="1"/>
    <xf numFmtId="9" fontId="3" fillId="0" borderId="8" xfId="2" applyFont="1" applyBorder="1"/>
    <xf numFmtId="1" fontId="37" fillId="0" borderId="0" xfId="0" applyNumberFormat="1" applyFont="1"/>
    <xf numFmtId="0" fontId="39" fillId="0" borderId="1" xfId="0" applyFont="1" applyBorder="1"/>
    <xf numFmtId="0" fontId="38" fillId="0" borderId="3" xfId="0" applyFont="1" applyBorder="1"/>
    <xf numFmtId="0" fontId="20" fillId="0" borderId="6" xfId="0" applyFont="1" applyBorder="1"/>
    <xf numFmtId="168" fontId="20" fillId="0" borderId="7" xfId="2" applyNumberFormat="1" applyFont="1" applyBorder="1"/>
    <xf numFmtId="0" fontId="34" fillId="0" borderId="4" xfId="0" applyFont="1" applyBorder="1"/>
    <xf numFmtId="0" fontId="34" fillId="0" borderId="5" xfId="0" applyFont="1" applyBorder="1"/>
    <xf numFmtId="0" fontId="34" fillId="0" borderId="4" xfId="0" applyFont="1" applyBorder="1" applyAlignment="1">
      <alignment horizontal="right"/>
    </xf>
    <xf numFmtId="0" fontId="34" fillId="0" borderId="0" xfId="0" applyFont="1"/>
    <xf numFmtId="1" fontId="34" fillId="0" borderId="0" xfId="0" applyNumberFormat="1" applyFont="1"/>
    <xf numFmtId="164" fontId="34" fillId="0" borderId="0" xfId="0" applyNumberFormat="1" applyFont="1"/>
    <xf numFmtId="0" fontId="20" fillId="0" borderId="5" xfId="0" applyFont="1" applyBorder="1"/>
    <xf numFmtId="0" fontId="34" fillId="0" borderId="6" xfId="0" applyFont="1" applyBorder="1"/>
    <xf numFmtId="0" fontId="20" fillId="0" borderId="8" xfId="0" applyFont="1" applyBorder="1"/>
    <xf numFmtId="164" fontId="34" fillId="0" borderId="7" xfId="0" applyNumberFormat="1" applyFont="1" applyBorder="1"/>
    <xf numFmtId="9" fontId="10" fillId="0" borderId="2" xfId="2" applyFont="1" applyBorder="1"/>
    <xf numFmtId="0" fontId="37" fillId="0" borderId="0" xfId="0" applyFont="1"/>
    <xf numFmtId="0" fontId="36" fillId="0" borderId="1" xfId="0" applyFont="1" applyBorder="1" applyAlignment="1">
      <alignment horizontal="left"/>
    </xf>
    <xf numFmtId="9" fontId="37" fillId="0" borderId="0" xfId="2" applyFont="1" applyBorder="1"/>
    <xf numFmtId="166" fontId="3" fillId="0" borderId="0" xfId="1" applyNumberFormat="1" applyFont="1" applyBorder="1" applyAlignment="1">
      <alignment horizontal="right"/>
    </xf>
    <xf numFmtId="9" fontId="4" fillId="0" borderId="0" xfId="2" applyFont="1" applyBorder="1" applyAlignment="1">
      <alignment horizontal="center"/>
    </xf>
  </cellXfs>
  <cellStyles count="10">
    <cellStyle name="Lien hypertexte" xfId="9" builtinId="8"/>
    <cellStyle name="Milliers" xfId="1" builtinId="3"/>
    <cellStyle name="Milliers 2 2" xfId="7" xr:uid="{58137679-1312-4B3F-9741-7C8956751CCA}"/>
    <cellStyle name="Milliers 3" xfId="8" xr:uid="{6788D251-2158-4093-B2FE-9D0DDF4907E5}"/>
    <cellStyle name="Normal" xfId="0" builtinId="0"/>
    <cellStyle name="Normal 2" xfId="3" xr:uid="{5973D76C-1F10-478E-B635-A096792718D6}"/>
    <cellStyle name="Normal 2 2 3" xfId="6" xr:uid="{544FA970-CB95-4230-ABD5-CD471ED8741E}"/>
    <cellStyle name="Normal 3" xfId="4" xr:uid="{A09E4542-8CE6-4ECB-B78A-67FDC895C867}"/>
    <cellStyle name="Normal 5" xfId="5" xr:uid="{1B8FF15F-FDFC-400F-9AAF-88D54029965E}"/>
    <cellStyle name="Pourcentage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28</xdr:row>
      <xdr:rowOff>0</xdr:rowOff>
    </xdr:from>
    <xdr:to>
      <xdr:col>10</xdr:col>
      <xdr:colOff>57532</xdr:colOff>
      <xdr:row>49</xdr:row>
      <xdr:rowOff>101783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C3CFAA5C-B23D-F318-1037-3A7E726112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0" y="3314700"/>
          <a:ext cx="7436232" cy="3568883"/>
        </a:xfrm>
        <a:prstGeom prst="rect">
          <a:avLst/>
        </a:prstGeom>
      </xdr:spPr>
    </xdr:pic>
    <xdr:clientData/>
  </xdr:twoCellAnchor>
  <xdr:twoCellAnchor editAs="oneCell">
    <xdr:from>
      <xdr:col>11</xdr:col>
      <xdr:colOff>44450</xdr:colOff>
      <xdr:row>30</xdr:row>
      <xdr:rowOff>69850</xdr:rowOff>
    </xdr:from>
    <xdr:to>
      <xdr:col>17</xdr:col>
      <xdr:colOff>660668</xdr:colOff>
      <xdr:row>48</xdr:row>
      <xdr:rowOff>108105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30391A7-F587-CF69-43C2-E2BA17E14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9448800" y="3384550"/>
          <a:ext cx="5207268" cy="3010055"/>
        </a:xfrm>
        <a:prstGeom prst="rect">
          <a:avLst/>
        </a:prstGeom>
      </xdr:spPr>
    </xdr:pic>
    <xdr:clientData/>
  </xdr:twoCellAnchor>
  <xdr:twoCellAnchor editAs="oneCell">
    <xdr:from>
      <xdr:col>11</xdr:col>
      <xdr:colOff>0</xdr:colOff>
      <xdr:row>48</xdr:row>
      <xdr:rowOff>0</xdr:rowOff>
    </xdr:from>
    <xdr:to>
      <xdr:col>17</xdr:col>
      <xdr:colOff>730523</xdr:colOff>
      <xdr:row>69</xdr:row>
      <xdr:rowOff>38280</xdr:rowOff>
    </xdr:to>
    <xdr:pic>
      <xdr:nvPicPr>
        <xdr:cNvPr id="4" name="Image 3">
          <a:extLst>
            <a:ext uri="{FF2B5EF4-FFF2-40B4-BE49-F238E27FC236}">
              <a16:creationId xmlns:a16="http://schemas.microsoft.com/office/drawing/2014/main" id="{7B88D627-31E0-3558-25D6-7EC0B515B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9404350" y="6629400"/>
          <a:ext cx="5321573" cy="3505380"/>
        </a:xfrm>
        <a:prstGeom prst="rect">
          <a:avLst/>
        </a:prstGeom>
      </xdr:spPr>
    </xdr:pic>
    <xdr:clientData/>
  </xdr:twoCellAnchor>
  <xdr:twoCellAnchor editAs="oneCell">
    <xdr:from>
      <xdr:col>11</xdr:col>
      <xdr:colOff>25400</xdr:colOff>
      <xdr:row>27</xdr:row>
      <xdr:rowOff>114300</xdr:rowOff>
    </xdr:from>
    <xdr:to>
      <xdr:col>17</xdr:col>
      <xdr:colOff>89139</xdr:colOff>
      <xdr:row>30</xdr:row>
      <xdr:rowOff>38122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B1A28EC-57A0-F3E1-9A83-B9F2EFF9F2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9429750" y="2876550"/>
          <a:ext cx="4654789" cy="419122"/>
        </a:xfrm>
        <a:prstGeom prst="rect">
          <a:avLst/>
        </a:prstGeom>
      </xdr:spPr>
    </xdr:pic>
    <xdr:clientData/>
  </xdr:twoCellAnchor>
  <xdr:twoCellAnchor editAs="oneCell">
    <xdr:from>
      <xdr:col>18</xdr:col>
      <xdr:colOff>44450</xdr:colOff>
      <xdr:row>27</xdr:row>
      <xdr:rowOff>82550</xdr:rowOff>
    </xdr:from>
    <xdr:to>
      <xdr:col>25</xdr:col>
      <xdr:colOff>203482</xdr:colOff>
      <xdr:row>48</xdr:row>
      <xdr:rowOff>63677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F98323D-BB01-D4FD-0DDE-F6D5617389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4782800" y="2844800"/>
          <a:ext cx="5493032" cy="344822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 2013 –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4.bin"/><Relationship Id="rId2" Type="http://schemas.openxmlformats.org/officeDocument/2006/relationships/hyperlink" Target="https://www.impots.gouv.fr/sites/default/files/media/9_statistiques/0_etudes_et_stats/0_publications/dgfip_statistiques/2025/num32_04/dgfip_stat_32_2025.pdf" TargetMode="External"/><Relationship Id="rId1" Type="http://schemas.openxmlformats.org/officeDocument/2006/relationships/hyperlink" Target="https://www.insee.fr/fr/statistiques/8988845?sommaire=8988934" TargetMode="Externa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hyperlink" Target="https://www.insee.fr/fr/statistiques/8988859?sommaire=8988934" TargetMode="External"/><Relationship Id="rId1" Type="http://schemas.openxmlformats.org/officeDocument/2006/relationships/hyperlink" Target="https://www.union-habitat.org/les-hlm-en-chiff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7D42C7-BC19-40A3-8BCB-6622B95FD54C}">
  <dimension ref="A1:J29"/>
  <sheetViews>
    <sheetView tabSelected="1" zoomScale="90" zoomScaleNormal="90" workbookViewId="0">
      <selection activeCell="A7" sqref="A7"/>
    </sheetView>
  </sheetViews>
  <sheetFormatPr baseColWidth="10" defaultRowHeight="13" x14ac:dyDescent="0.3"/>
  <cols>
    <col min="1" max="1" width="10.90625" style="246"/>
    <col min="2" max="2" width="61.36328125" style="1" customWidth="1"/>
    <col min="3" max="3" width="9.7265625" style="2" customWidth="1"/>
    <col min="4" max="4" width="14.08984375" style="1" customWidth="1"/>
    <col min="5" max="5" width="11.36328125" style="1" customWidth="1"/>
    <col min="6" max="6" width="13.08984375" style="1" customWidth="1"/>
    <col min="7" max="16384" width="10.90625" style="1"/>
  </cols>
  <sheetData>
    <row r="1" spans="1:10" ht="13.5" thickBot="1" x14ac:dyDescent="0.35">
      <c r="E1" s="19" t="s">
        <v>430</v>
      </c>
      <c r="F1" s="19" t="s">
        <v>430</v>
      </c>
    </row>
    <row r="2" spans="1:10" ht="26.5" thickBot="1" x14ac:dyDescent="0.35">
      <c r="B2" s="3" t="s">
        <v>286</v>
      </c>
      <c r="C2" s="232" t="s">
        <v>290</v>
      </c>
      <c r="D2" s="232" t="s">
        <v>391</v>
      </c>
      <c r="E2" s="233" t="s">
        <v>276</v>
      </c>
      <c r="F2" s="4" t="s">
        <v>429</v>
      </c>
    </row>
    <row r="3" spans="1:10" ht="18" customHeight="1" thickBot="1" x14ac:dyDescent="0.35">
      <c r="B3" s="229" t="s">
        <v>282</v>
      </c>
      <c r="C3" s="5">
        <f>SUM(C5,C11,C15,C19,C24,C27,C28)</f>
        <v>236.05466666666666</v>
      </c>
      <c r="D3" s="5">
        <v>8000</v>
      </c>
      <c r="E3" s="224">
        <f>SUM(E5,E11,E15,E19,E24,E27,E28)</f>
        <v>127.35216666666668</v>
      </c>
      <c r="F3" s="224">
        <f>SUM(F5,F11,F15,F19,F24,F27,F28)</f>
        <v>108.91167997630845</v>
      </c>
    </row>
    <row r="4" spans="1:10" ht="18" customHeight="1" thickBot="1" x14ac:dyDescent="0.35">
      <c r="B4" s="234" t="s">
        <v>302</v>
      </c>
      <c r="C4" s="235">
        <f>C5+C11</f>
        <v>67.006666666666661</v>
      </c>
      <c r="D4" s="235">
        <v>2280</v>
      </c>
      <c r="E4" s="236">
        <f>E5+E11</f>
        <v>39.104166666666664</v>
      </c>
      <c r="F4" s="236">
        <f>F5+F11</f>
        <v>27.9025</v>
      </c>
    </row>
    <row r="5" spans="1:10" ht="18" customHeight="1" thickBot="1" x14ac:dyDescent="0.35">
      <c r="B5" s="231" t="s">
        <v>287</v>
      </c>
      <c r="C5" s="6">
        <f>SUM(C6:C10)</f>
        <v>37.431666666666658</v>
      </c>
      <c r="D5" s="6">
        <v>1280</v>
      </c>
      <c r="E5" s="7">
        <f>SUM(E6:E10)</f>
        <v>30.231666666666666</v>
      </c>
      <c r="F5" s="7">
        <f>SUM(F6:F10)</f>
        <v>7.1999999999999993</v>
      </c>
    </row>
    <row r="6" spans="1:10" ht="26.5" thickBot="1" x14ac:dyDescent="0.35">
      <c r="B6" s="230" t="s">
        <v>284</v>
      </c>
      <c r="C6" s="8">
        <f>SUM(E6,F6)</f>
        <v>3.8</v>
      </c>
      <c r="D6" s="8">
        <v>130</v>
      </c>
      <c r="E6" s="8">
        <f>'Détail Economies'!D37</f>
        <v>3.8</v>
      </c>
      <c r="F6" s="9" t="s">
        <v>238</v>
      </c>
    </row>
    <row r="7" spans="1:10" ht="26.5" thickBot="1" x14ac:dyDescent="0.35">
      <c r="B7" s="230" t="s">
        <v>285</v>
      </c>
      <c r="C7" s="8">
        <f>SUM(E7,F7)</f>
        <v>9.6</v>
      </c>
      <c r="D7" s="8">
        <v>330</v>
      </c>
      <c r="E7" s="8">
        <f>Flux!C25</f>
        <v>6.1</v>
      </c>
      <c r="F7" s="8">
        <f>Flux!E25</f>
        <v>3.5</v>
      </c>
    </row>
    <row r="8" spans="1:10" ht="26.5" thickBot="1" x14ac:dyDescent="0.35">
      <c r="A8" s="246" t="s">
        <v>240</v>
      </c>
      <c r="B8" s="230" t="s">
        <v>392</v>
      </c>
      <c r="C8" s="8">
        <f>SUM(E8,F8)</f>
        <v>8.6316666666666642</v>
      </c>
      <c r="D8" s="8">
        <v>300</v>
      </c>
      <c r="E8" s="8">
        <f>SUMIFS('Détail Economies'!D:D,'Détail Economies'!$A:$A,"O")-1.052*42/48*10/3</f>
        <v>4.9316666666666649</v>
      </c>
      <c r="F8" s="8">
        <f>SUMIFS('Détail Economies'!E:E,'Détail Economies'!$A:$A,"O")</f>
        <v>3.6999999999999997</v>
      </c>
    </row>
    <row r="9" spans="1:10" ht="18" customHeight="1" thickBot="1" x14ac:dyDescent="0.35">
      <c r="B9" s="230" t="s">
        <v>298</v>
      </c>
      <c r="C9" s="8">
        <f>SUM(E9,F9)</f>
        <v>11.6</v>
      </c>
      <c r="D9" s="8">
        <v>390</v>
      </c>
      <c r="E9" s="8">
        <f>Flux!C23</f>
        <v>11.6</v>
      </c>
      <c r="F9" s="9" t="s">
        <v>237</v>
      </c>
    </row>
    <row r="10" spans="1:10" ht="18" customHeight="1" thickBot="1" x14ac:dyDescent="0.35">
      <c r="A10" s="246" t="s">
        <v>242</v>
      </c>
      <c r="B10" s="230" t="s">
        <v>249</v>
      </c>
      <c r="C10" s="8">
        <f>SUM(E10,F10)</f>
        <v>3.8</v>
      </c>
      <c r="D10" s="8">
        <v>130</v>
      </c>
      <c r="E10" s="8">
        <f>SUMIFS('Détail Economies'!D:D,'Détail Economies'!$A:$A,"AVP")</f>
        <v>3.8</v>
      </c>
      <c r="F10" s="9" t="s">
        <v>237</v>
      </c>
    </row>
    <row r="11" spans="1:10" ht="18" customHeight="1" thickBot="1" x14ac:dyDescent="0.35">
      <c r="B11" s="231" t="s">
        <v>280</v>
      </c>
      <c r="C11" s="6">
        <f>SUM(C12:C13)</f>
        <v>29.575000000000003</v>
      </c>
      <c r="D11" s="6">
        <v>1000</v>
      </c>
      <c r="E11" s="7">
        <f>SUM(E12:E13)</f>
        <v>8.8725000000000005</v>
      </c>
      <c r="F11" s="7">
        <f>SUM(F12:F13)</f>
        <v>20.702500000000001</v>
      </c>
    </row>
    <row r="12" spans="1:10" ht="18" customHeight="1" thickBot="1" x14ac:dyDescent="0.35">
      <c r="B12" s="230" t="s">
        <v>283</v>
      </c>
      <c r="C12" s="8">
        <f>SUM(E12,F12)</f>
        <v>9.5750000000000011</v>
      </c>
      <c r="D12" s="8">
        <v>330</v>
      </c>
      <c r="E12" s="8">
        <f>'Détail Economies'!D38+1.052*90/48</f>
        <v>2.8725000000000001</v>
      </c>
      <c r="F12" s="8">
        <f>E12*7/3</f>
        <v>6.7025000000000006</v>
      </c>
      <c r="J12" s="10"/>
    </row>
    <row r="13" spans="1:10" ht="18" customHeight="1" thickBot="1" x14ac:dyDescent="0.35">
      <c r="B13" s="230" t="s">
        <v>278</v>
      </c>
      <c r="C13" s="8">
        <f>SUM(E13,F13)</f>
        <v>20</v>
      </c>
      <c r="D13" s="8">
        <v>670</v>
      </c>
      <c r="E13" s="8">
        <f>Flux!C26</f>
        <v>6</v>
      </c>
      <c r="F13" s="8">
        <f>E13*7/3</f>
        <v>14</v>
      </c>
    </row>
    <row r="14" spans="1:10" ht="18" customHeight="1" thickBot="1" x14ac:dyDescent="0.35">
      <c r="B14" s="234" t="s">
        <v>288</v>
      </c>
      <c r="C14" s="235">
        <f>C15+C19</f>
        <v>68.948000000000008</v>
      </c>
      <c r="D14" s="235">
        <v>2330</v>
      </c>
      <c r="E14" s="236">
        <f>E15+E19</f>
        <v>36.147999999999996</v>
      </c>
      <c r="F14" s="236">
        <f>F15+F19</f>
        <v>32.799999999999997</v>
      </c>
    </row>
    <row r="15" spans="1:10" ht="18" customHeight="1" thickBot="1" x14ac:dyDescent="0.35">
      <c r="B15" s="231" t="s">
        <v>279</v>
      </c>
      <c r="C15" s="6">
        <f>SUM(C16:C18)</f>
        <v>41.448</v>
      </c>
      <c r="D15" s="6">
        <v>1400</v>
      </c>
      <c r="E15" s="7">
        <f>SUM(E16:E18)</f>
        <v>21.448</v>
      </c>
      <c r="F15" s="7">
        <f>SUM(F16:F18)</f>
        <v>20</v>
      </c>
    </row>
    <row r="16" spans="1:10" ht="26.5" thickBot="1" x14ac:dyDescent="0.35">
      <c r="A16" s="246" t="s">
        <v>239</v>
      </c>
      <c r="B16" s="230" t="s">
        <v>275</v>
      </c>
      <c r="C16" s="8">
        <f>SUM(E16,F16)</f>
        <v>22.548000000000002</v>
      </c>
      <c r="D16" s="8">
        <v>770</v>
      </c>
      <c r="E16" s="8">
        <f>SUMIFS('Détail Economies'!D:D,'Détail Economies'!$A:$A,"AE")-1.052</f>
        <v>8.4480000000000004</v>
      </c>
      <c r="F16" s="8">
        <f>SUMIFS('Détail Economies'!E:E,'Détail Economies'!$A:$A,"AE")-1.052*7/3</f>
        <v>14.1</v>
      </c>
    </row>
    <row r="17" spans="1:6" ht="26.5" thickBot="1" x14ac:dyDescent="0.35">
      <c r="A17" s="246" t="s">
        <v>241</v>
      </c>
      <c r="B17" s="230" t="s">
        <v>297</v>
      </c>
      <c r="C17" s="8">
        <f>SUM(E17,F17)</f>
        <v>6.6000000000000014</v>
      </c>
      <c r="D17" s="8">
        <v>230</v>
      </c>
      <c r="E17" s="8">
        <f>SUMIFS('Détail Economies'!D:D,'Détail Economies'!$A:$A,"E")</f>
        <v>3.3000000000000012</v>
      </c>
      <c r="F17" s="8">
        <f>SUMIFS('Détail Economies'!E:E,'Détail Economies'!$A:$A,"E")</f>
        <v>3.3000000000000007</v>
      </c>
    </row>
    <row r="18" spans="1:6" ht="18" customHeight="1" thickBot="1" x14ac:dyDescent="0.35">
      <c r="B18" s="230" t="s">
        <v>296</v>
      </c>
      <c r="C18" s="8">
        <f>SUM(E18,F18)</f>
        <v>12.299999999999999</v>
      </c>
      <c r="D18" s="8">
        <v>400</v>
      </c>
      <c r="E18" s="8">
        <f>Flux!C24</f>
        <v>9.6999999999999993</v>
      </c>
      <c r="F18" s="8">
        <f>Flux!E24</f>
        <v>2.6</v>
      </c>
    </row>
    <row r="19" spans="1:6" ht="18" customHeight="1" thickBot="1" x14ac:dyDescent="0.35">
      <c r="B19" s="231" t="s">
        <v>389</v>
      </c>
      <c r="C19" s="6">
        <f>SUM(C20:C23)</f>
        <v>27.500000000000004</v>
      </c>
      <c r="D19" s="6">
        <v>930</v>
      </c>
      <c r="E19" s="7">
        <f>SUM(E20:E23)</f>
        <v>14.7</v>
      </c>
      <c r="F19" s="7">
        <f>SUM(F20:F23)</f>
        <v>12.8</v>
      </c>
    </row>
    <row r="20" spans="1:6" ht="18" customHeight="1" thickBot="1" x14ac:dyDescent="0.35">
      <c r="A20" s="246" t="s">
        <v>102</v>
      </c>
      <c r="B20" s="230" t="s">
        <v>390</v>
      </c>
      <c r="C20" s="8">
        <f>SUM(E20,F20)</f>
        <v>17.700000000000003</v>
      </c>
      <c r="D20" s="8">
        <v>600</v>
      </c>
      <c r="E20" s="8">
        <f>SUMIFS('Détail Economies'!D:D,'Détail Economies'!$A:$A,"M")</f>
        <v>6.9</v>
      </c>
      <c r="F20" s="8">
        <f>SUMIFS('Détail Economies'!E:E,'Détail Economies'!$A:$A,"M")</f>
        <v>10.8</v>
      </c>
    </row>
    <row r="21" spans="1:6" ht="16.5" customHeight="1" thickBot="1" x14ac:dyDescent="0.35">
      <c r="A21" s="246" t="s">
        <v>250</v>
      </c>
      <c r="B21" s="230" t="s">
        <v>277</v>
      </c>
      <c r="C21" s="8">
        <f>SUM(E21,F21)</f>
        <v>3.6</v>
      </c>
      <c r="D21" s="8">
        <v>130</v>
      </c>
      <c r="E21" s="8">
        <f>SUMIFS('Détail Economies'!D:D,'Détail Economies'!$A:$A,"HU")+SUMIFS('Détail Economies'!D:D,'Détail Economies'!$A:$A,"AME")</f>
        <v>3.6</v>
      </c>
      <c r="F21" s="9" t="s">
        <v>237</v>
      </c>
    </row>
    <row r="22" spans="1:6" ht="18" customHeight="1" thickBot="1" x14ac:dyDescent="0.35">
      <c r="A22" s="246" t="s">
        <v>248</v>
      </c>
      <c r="B22" s="230" t="s">
        <v>295</v>
      </c>
      <c r="C22" s="8">
        <f>SUM(E22,F22)</f>
        <v>3.1999999999999993</v>
      </c>
      <c r="D22" s="8">
        <v>100</v>
      </c>
      <c r="E22" s="8">
        <f>SUMIFS('Détail Economies'!D:D,'Détail Economies'!$A:$A,"A")</f>
        <v>3.1999999999999993</v>
      </c>
      <c r="F22" s="9" t="s">
        <v>237</v>
      </c>
    </row>
    <row r="23" spans="1:6" ht="18" customHeight="1" thickBot="1" x14ac:dyDescent="0.35">
      <c r="A23" s="246" t="s">
        <v>243</v>
      </c>
      <c r="B23" s="230" t="s">
        <v>294</v>
      </c>
      <c r="C23" s="8">
        <f>SUM(E23,F23)</f>
        <v>3</v>
      </c>
      <c r="D23" s="8">
        <v>100</v>
      </c>
      <c r="E23" s="8">
        <f>SUMIFS('Détail Economies'!D:D,'Détail Economies'!$A:$A,"APD")</f>
        <v>1</v>
      </c>
      <c r="F23" s="8">
        <f>SUMIFS('Détail Economies'!E:E,'Détail Economies'!$A:$A,"APD")</f>
        <v>2</v>
      </c>
    </row>
    <row r="24" spans="1:6" ht="18" customHeight="1" thickBot="1" x14ac:dyDescent="0.35">
      <c r="B24" s="234" t="s">
        <v>281</v>
      </c>
      <c r="C24" s="235">
        <f>C25+C26</f>
        <v>52.1</v>
      </c>
      <c r="D24" s="235">
        <v>1750</v>
      </c>
      <c r="E24" s="235">
        <f>E25+E26</f>
        <v>52.1</v>
      </c>
      <c r="F24" s="235" t="s">
        <v>237</v>
      </c>
    </row>
    <row r="25" spans="1:6" ht="18" customHeight="1" thickBot="1" x14ac:dyDescent="0.35">
      <c r="B25" s="231" t="s">
        <v>292</v>
      </c>
      <c r="C25" s="6">
        <f>Flux!C10+Flux!C13</f>
        <v>28.8</v>
      </c>
      <c r="D25" s="6">
        <v>970</v>
      </c>
      <c r="E25" s="7">
        <f>C25</f>
        <v>28.8</v>
      </c>
      <c r="F25" s="7" t="s">
        <v>237</v>
      </c>
    </row>
    <row r="26" spans="1:6" ht="18" customHeight="1" thickBot="1" x14ac:dyDescent="0.35">
      <c r="B26" s="231" t="s">
        <v>293</v>
      </c>
      <c r="C26" s="6">
        <f>Flux!C9+Flux!C11+Flux!C12</f>
        <v>23.3</v>
      </c>
      <c r="D26" s="6">
        <v>780</v>
      </c>
      <c r="E26" s="7">
        <f>C26</f>
        <v>23.3</v>
      </c>
      <c r="F26" s="7" t="s">
        <v>237</v>
      </c>
    </row>
    <row r="27" spans="1:6" ht="18" customHeight="1" thickBot="1" x14ac:dyDescent="0.35">
      <c r="B27" s="234" t="s">
        <v>291</v>
      </c>
      <c r="C27" s="235">
        <f>SUM(E27,F27)</f>
        <v>30</v>
      </c>
      <c r="D27" s="235">
        <v>1000</v>
      </c>
      <c r="E27" s="236" t="s">
        <v>237</v>
      </c>
      <c r="F27" s="224">
        <f>'Input Capitalisation'!E7</f>
        <v>30</v>
      </c>
    </row>
    <row r="28" spans="1:6" ht="21" customHeight="1" thickBot="1" x14ac:dyDescent="0.35">
      <c r="B28" s="234" t="s">
        <v>289</v>
      </c>
      <c r="C28" s="235">
        <f>TRUNC(SUM(E28,F28))</f>
        <v>18</v>
      </c>
      <c r="D28" s="235">
        <v>600</v>
      </c>
      <c r="E28" s="236" t="s">
        <v>237</v>
      </c>
      <c r="F28" s="224">
        <f>'Input Capitalisation'!E10</f>
        <v>18.209179976308441</v>
      </c>
    </row>
    <row r="29" spans="1:6" ht="4.5" customHeight="1" x14ac:dyDescent="0.3">
      <c r="B29" s="11"/>
      <c r="F29" s="1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D02EF1-64B7-4132-8AB1-E521935FC25D}">
  <dimension ref="B1:J21"/>
  <sheetViews>
    <sheetView workbookViewId="0">
      <selection activeCell="L10" sqref="L10"/>
    </sheetView>
  </sheetViews>
  <sheetFormatPr baseColWidth="10" defaultRowHeight="13" outlineLevelRow="1" outlineLevelCol="1" x14ac:dyDescent="0.3"/>
  <cols>
    <col min="1" max="1" width="2.453125" style="1" customWidth="1"/>
    <col min="2" max="2" width="20" style="1" customWidth="1"/>
    <col min="3" max="3" width="13.1796875" style="1" customWidth="1"/>
    <col min="4" max="5" width="8.6328125" style="1" customWidth="1" outlineLevel="1"/>
    <col min="6" max="6" width="13.6328125" style="1" customWidth="1"/>
    <col min="7" max="7" width="11.6328125" style="1" customWidth="1"/>
    <col min="8" max="8" width="8.6328125" style="1" customWidth="1" outlineLevel="1"/>
    <col min="9" max="9" width="12.7265625" style="20" customWidth="1"/>
    <col min="10" max="10" width="12.26953125" style="20" customWidth="1"/>
    <col min="11" max="11" width="5.36328125" style="1" customWidth="1"/>
    <col min="12" max="16384" width="10.90625" style="1"/>
  </cols>
  <sheetData>
    <row r="1" spans="2:10" ht="13.5" thickBot="1" x14ac:dyDescent="0.35"/>
    <row r="2" spans="2:10" ht="26" x14ac:dyDescent="0.3">
      <c r="B2" s="13"/>
      <c r="C2" s="21"/>
      <c r="D2" s="22"/>
      <c r="E2" s="22"/>
      <c r="F2" s="23"/>
      <c r="G2" s="24" t="s">
        <v>253</v>
      </c>
      <c r="H2" s="22" t="s">
        <v>4</v>
      </c>
      <c r="I2" s="25" t="s">
        <v>150</v>
      </c>
      <c r="J2" s="26" t="s">
        <v>3</v>
      </c>
    </row>
    <row r="3" spans="2:10" ht="13.5" thickBot="1" x14ac:dyDescent="0.35">
      <c r="B3" s="14"/>
      <c r="C3" s="27"/>
      <c r="D3" s="27"/>
      <c r="E3" s="28"/>
      <c r="F3" s="15"/>
      <c r="G3" s="16" t="s">
        <v>186</v>
      </c>
      <c r="H3" s="29">
        <f>J3*9.2</f>
        <v>108.56</v>
      </c>
      <c r="I3" s="30">
        <f>J3*9.7</f>
        <v>114.46</v>
      </c>
      <c r="J3" s="31">
        <v>11.8</v>
      </c>
    </row>
    <row r="4" spans="2:10" x14ac:dyDescent="0.3">
      <c r="B4" s="17"/>
      <c r="C4" s="32"/>
      <c r="D4" s="32"/>
      <c r="E4" s="32"/>
      <c r="F4" s="33" t="s">
        <v>254</v>
      </c>
      <c r="G4" s="32"/>
      <c r="H4" s="32"/>
      <c r="I4" s="32"/>
      <c r="J4" s="34"/>
    </row>
    <row r="5" spans="2:10" x14ac:dyDescent="0.3">
      <c r="B5" s="18"/>
      <c r="C5" s="36" t="s">
        <v>149</v>
      </c>
      <c r="D5" s="36" t="s">
        <v>3</v>
      </c>
      <c r="E5" s="36" t="s">
        <v>4</v>
      </c>
      <c r="F5" s="36" t="s">
        <v>144</v>
      </c>
      <c r="G5" s="36" t="s">
        <v>148</v>
      </c>
      <c r="H5" s="36" t="s">
        <v>4</v>
      </c>
      <c r="I5" s="36" t="s">
        <v>141</v>
      </c>
      <c r="J5" s="38" t="s">
        <v>141</v>
      </c>
    </row>
    <row r="6" spans="2:10" x14ac:dyDescent="0.3">
      <c r="B6" s="39"/>
      <c r="C6" s="40" t="s">
        <v>103</v>
      </c>
      <c r="D6" s="40" t="s">
        <v>103</v>
      </c>
      <c r="E6" s="40" t="s">
        <v>103</v>
      </c>
      <c r="F6" s="40" t="s">
        <v>145</v>
      </c>
      <c r="G6" s="40" t="s">
        <v>145</v>
      </c>
      <c r="H6" s="40" t="s">
        <v>104</v>
      </c>
      <c r="I6" s="40" t="s">
        <v>142</v>
      </c>
      <c r="J6" s="42" t="s">
        <v>143</v>
      </c>
    </row>
    <row r="7" spans="2:10" outlineLevel="1" x14ac:dyDescent="0.3">
      <c r="B7" s="43" t="s">
        <v>147</v>
      </c>
      <c r="C7" s="44">
        <v>1801.8</v>
      </c>
      <c r="D7" s="44">
        <f>C7*0.01*0.9825</f>
        <v>17.702685000000002</v>
      </c>
      <c r="E7" s="44">
        <f t="shared" ref="E7:E15" si="0">D7*9.2</f>
        <v>162.86470200000002</v>
      </c>
      <c r="F7" s="44">
        <f t="shared" ref="F7:F15" si="1">D7*9.7</f>
        <v>171.71604450000001</v>
      </c>
      <c r="G7" s="44"/>
      <c r="H7" s="44">
        <f>E7*12</f>
        <v>1954.3764240000003</v>
      </c>
      <c r="I7" s="249">
        <f>F7*12</f>
        <v>2060.5925340000003</v>
      </c>
      <c r="J7" s="45">
        <f t="shared" ref="J7:J15" si="2">D7*12</f>
        <v>212.43222000000003</v>
      </c>
    </row>
    <row r="8" spans="2:10" x14ac:dyDescent="0.3">
      <c r="B8" s="43" t="s">
        <v>146</v>
      </c>
      <c r="C8" s="44">
        <v>1426.3</v>
      </c>
      <c r="D8" s="44">
        <f>D7</f>
        <v>17.702685000000002</v>
      </c>
      <c r="E8" s="44">
        <f t="shared" si="0"/>
        <v>162.86470200000002</v>
      </c>
      <c r="F8" s="44">
        <f t="shared" si="1"/>
        <v>171.71604450000001</v>
      </c>
      <c r="G8" s="46">
        <f>F8/C8</f>
        <v>0.12039265547220081</v>
      </c>
      <c r="H8" s="44">
        <f t="shared" ref="H8:H15" si="3">E8*12</f>
        <v>1954.3764240000003</v>
      </c>
      <c r="I8" s="249">
        <f t="shared" ref="I8" si="4">F8*12</f>
        <v>2060.5925340000003</v>
      </c>
      <c r="J8" s="45">
        <f t="shared" si="2"/>
        <v>212.43222000000003</v>
      </c>
    </row>
    <row r="9" spans="2:10" x14ac:dyDescent="0.3">
      <c r="B9" s="43" t="s">
        <v>394</v>
      </c>
      <c r="C9" s="44">
        <v>1823</v>
      </c>
      <c r="D9" s="44">
        <f>C9*0.01*0.9825</f>
        <v>17.910975000000001</v>
      </c>
      <c r="E9" s="44">
        <f t="shared" ref="E9:E10" si="5">D9*9.2</f>
        <v>164.78097</v>
      </c>
      <c r="F9" s="44">
        <f t="shared" ref="F9:F10" si="6">D9*9.7</f>
        <v>173.7364575</v>
      </c>
      <c r="G9" s="44"/>
      <c r="H9" s="44">
        <f t="shared" ref="H9:H10" si="7">E9*12</f>
        <v>1977.3716399999998</v>
      </c>
      <c r="I9" s="249">
        <f>F9*12</f>
        <v>2084.8374899999999</v>
      </c>
      <c r="J9" s="45">
        <f t="shared" ref="J9:J10" si="8">D9*12</f>
        <v>214.93170000000001</v>
      </c>
    </row>
    <row r="10" spans="2:10" x14ac:dyDescent="0.3">
      <c r="B10" s="43" t="s">
        <v>395</v>
      </c>
      <c r="C10" s="245">
        <v>1443</v>
      </c>
      <c r="D10" s="44">
        <f>D9</f>
        <v>17.910975000000001</v>
      </c>
      <c r="E10" s="44">
        <f t="shared" si="5"/>
        <v>164.78097</v>
      </c>
      <c r="F10" s="44">
        <f t="shared" si="6"/>
        <v>173.7364575</v>
      </c>
      <c r="G10" s="46">
        <f>F10/C10</f>
        <v>0.12039948544698545</v>
      </c>
      <c r="H10" s="44">
        <f t="shared" si="7"/>
        <v>1977.3716399999998</v>
      </c>
      <c r="I10" s="249">
        <f t="shared" ref="I10" si="9">F10*12</f>
        <v>2084.8374899999999</v>
      </c>
      <c r="J10" s="45">
        <f t="shared" si="8"/>
        <v>214.93170000000001</v>
      </c>
    </row>
    <row r="11" spans="2:10" x14ac:dyDescent="0.3">
      <c r="B11" s="43" t="s">
        <v>396</v>
      </c>
      <c r="C11" s="245">
        <v>1867</v>
      </c>
      <c r="D11" s="44">
        <f>C11*0.01*0.9825</f>
        <v>18.343275000000002</v>
      </c>
      <c r="E11" s="44">
        <f t="shared" si="0"/>
        <v>168.75812999999999</v>
      </c>
      <c r="F11" s="44">
        <f t="shared" si="1"/>
        <v>177.9297675</v>
      </c>
      <c r="G11" s="44"/>
      <c r="H11" s="44">
        <f t="shared" si="3"/>
        <v>2025.0975599999999</v>
      </c>
      <c r="I11" s="249">
        <f>F11*12</f>
        <v>2135.1572099999998</v>
      </c>
      <c r="J11" s="45">
        <f t="shared" si="2"/>
        <v>220.11930000000001</v>
      </c>
    </row>
    <row r="12" spans="2:10" outlineLevel="1" x14ac:dyDescent="0.3">
      <c r="B12" s="43" t="s">
        <v>397</v>
      </c>
      <c r="C12" s="245">
        <v>1478</v>
      </c>
      <c r="D12" s="44">
        <f>D11</f>
        <v>18.343275000000002</v>
      </c>
      <c r="E12" s="44">
        <f t="shared" si="0"/>
        <v>168.75812999999999</v>
      </c>
      <c r="F12" s="44">
        <f t="shared" si="1"/>
        <v>177.9297675</v>
      </c>
      <c r="G12" s="46">
        <f>F12/C12</f>
        <v>0.12038549898511502</v>
      </c>
      <c r="H12" s="44">
        <f t="shared" si="3"/>
        <v>2025.0975599999999</v>
      </c>
      <c r="I12" s="249">
        <f t="shared" ref="I12" si="10">F12*12</f>
        <v>2135.1572099999998</v>
      </c>
      <c r="J12" s="45">
        <f t="shared" si="2"/>
        <v>220.11930000000001</v>
      </c>
    </row>
    <row r="13" spans="2:10" x14ac:dyDescent="0.3">
      <c r="B13" s="43" t="s">
        <v>2</v>
      </c>
      <c r="C13" s="247">
        <v>2190</v>
      </c>
      <c r="D13" s="44">
        <f>D15*C13/C15</f>
        <v>28.358336443468719</v>
      </c>
      <c r="E13" s="44">
        <f t="shared" si="0"/>
        <v>260.89669527991219</v>
      </c>
      <c r="F13" s="44">
        <f t="shared" si="1"/>
        <v>275.07586350164655</v>
      </c>
      <c r="G13" s="248">
        <f>F13/C13</f>
        <v>0.12560541712403953</v>
      </c>
      <c r="H13" s="44">
        <f t="shared" si="3"/>
        <v>3130.7603433589466</v>
      </c>
      <c r="I13" s="249">
        <f>F13*12</f>
        <v>3300.9103620197584</v>
      </c>
      <c r="J13" s="45">
        <f t="shared" si="2"/>
        <v>340.30003732162464</v>
      </c>
    </row>
    <row r="14" spans="2:10" x14ac:dyDescent="0.3">
      <c r="B14" s="43" t="s">
        <v>0</v>
      </c>
      <c r="C14" s="44">
        <v>3602</v>
      </c>
      <c r="D14" s="44">
        <f>C14*0.01*0.9825</f>
        <v>35.389650000000003</v>
      </c>
      <c r="E14" s="44">
        <f t="shared" si="0"/>
        <v>325.58478000000002</v>
      </c>
      <c r="F14" s="44">
        <f t="shared" si="1"/>
        <v>343.279605</v>
      </c>
      <c r="G14" s="46">
        <f>F14/C14</f>
        <v>9.5302499999999998E-2</v>
      </c>
      <c r="H14" s="44">
        <f t="shared" si="3"/>
        <v>3907.0173600000003</v>
      </c>
      <c r="I14" s="249">
        <f t="shared" ref="I14:I15" si="11">F14*12</f>
        <v>4119.3552600000003</v>
      </c>
      <c r="J14" s="45">
        <f t="shared" si="2"/>
        <v>424.67580000000004</v>
      </c>
    </row>
    <row r="15" spans="2:10" s="2" customFormat="1" ht="13.5" thickBot="1" x14ac:dyDescent="0.35">
      <c r="B15" s="47" t="s">
        <v>1</v>
      </c>
      <c r="C15" s="252">
        <v>2733</v>
      </c>
      <c r="D15" s="48">
        <f>D14</f>
        <v>35.389650000000003</v>
      </c>
      <c r="E15" s="48">
        <f t="shared" si="0"/>
        <v>325.58478000000002</v>
      </c>
      <c r="F15" s="48">
        <f t="shared" si="1"/>
        <v>343.279605</v>
      </c>
      <c r="G15" s="251">
        <f>F15/C15</f>
        <v>0.12560541712403953</v>
      </c>
      <c r="H15" s="48">
        <f t="shared" si="3"/>
        <v>3907.0173600000003</v>
      </c>
      <c r="I15" s="250">
        <f t="shared" si="11"/>
        <v>4119.3552600000003</v>
      </c>
      <c r="J15" s="49">
        <f t="shared" si="2"/>
        <v>424.67580000000004</v>
      </c>
    </row>
    <row r="16" spans="2:10" x14ac:dyDescent="0.3">
      <c r="B16" s="50" t="s">
        <v>153</v>
      </c>
    </row>
    <row r="17" spans="2:10" x14ac:dyDescent="0.3">
      <c r="B17" s="2"/>
      <c r="C17" s="2"/>
      <c r="D17" s="2"/>
      <c r="E17" s="2"/>
      <c r="F17" s="228"/>
      <c r="G17" s="2"/>
      <c r="H17" s="2"/>
      <c r="I17" s="51"/>
      <c r="J17" s="51"/>
    </row>
    <row r="19" spans="2:10" x14ac:dyDescent="0.3">
      <c r="C19" s="175"/>
      <c r="F19" s="35"/>
      <c r="G19" s="219"/>
    </row>
    <row r="20" spans="2:10" x14ac:dyDescent="0.3">
      <c r="F20" s="35"/>
      <c r="G20" s="219"/>
    </row>
    <row r="21" spans="2:10" x14ac:dyDescent="0.3">
      <c r="F21" s="35"/>
      <c r="G21" s="21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D84B10-828C-4100-8BDF-64A7037F8D12}">
  <dimension ref="B1:J28"/>
  <sheetViews>
    <sheetView workbookViewId="0">
      <selection activeCell="C3" sqref="C3"/>
    </sheetView>
  </sheetViews>
  <sheetFormatPr baseColWidth="10" defaultRowHeight="13" outlineLevelCol="1" x14ac:dyDescent="0.3"/>
  <cols>
    <col min="1" max="1" width="2.26953125" style="1" customWidth="1"/>
    <col min="2" max="2" width="26.54296875" style="1" customWidth="1"/>
    <col min="3" max="3" width="8.36328125" style="79" customWidth="1"/>
    <col min="4" max="4" width="50.90625" style="50" bestFit="1" customWidth="1"/>
    <col min="5" max="5" width="9.453125" style="79" customWidth="1"/>
    <col min="6" max="6" width="25.6328125" style="50" customWidth="1" outlineLevel="1"/>
    <col min="7" max="7" width="10.26953125" style="79" customWidth="1"/>
    <col min="8" max="8" width="7.26953125" style="79" customWidth="1"/>
    <col min="9" max="9" width="20.08984375" style="50" bestFit="1" customWidth="1"/>
    <col min="10" max="10" width="45.08984375" style="50" customWidth="1"/>
    <col min="11" max="11" width="10.90625" style="1" customWidth="1"/>
    <col min="12" max="16384" width="10.90625" style="1"/>
  </cols>
  <sheetData>
    <row r="1" spans="2:10" ht="13.5" thickBot="1" x14ac:dyDescent="0.35"/>
    <row r="2" spans="2:10" x14ac:dyDescent="0.3">
      <c r="B2" s="80"/>
      <c r="C2" s="81" t="s">
        <v>20</v>
      </c>
      <c r="F2" s="82"/>
      <c r="J2" s="1"/>
    </row>
    <row r="3" spans="2:10" ht="13.5" thickBot="1" x14ac:dyDescent="0.35">
      <c r="B3" s="52" t="s">
        <v>13</v>
      </c>
      <c r="C3" s="83">
        <f>'CSG-CRDS'!I3</f>
        <v>114.46</v>
      </c>
      <c r="J3" s="53" t="s">
        <v>33</v>
      </c>
    </row>
    <row r="4" spans="2:10" ht="5" customHeight="1" thickBot="1" x14ac:dyDescent="0.35"/>
    <row r="5" spans="2:10" ht="39" x14ac:dyDescent="0.3">
      <c r="B5" s="295" t="s">
        <v>187</v>
      </c>
      <c r="C5" s="84" t="s">
        <v>400</v>
      </c>
      <c r="D5" s="85"/>
      <c r="E5" s="86" t="s">
        <v>401</v>
      </c>
      <c r="F5" s="54"/>
      <c r="G5" s="86" t="s">
        <v>188</v>
      </c>
      <c r="H5" s="253" t="s">
        <v>398</v>
      </c>
      <c r="I5" s="54"/>
      <c r="J5" s="55"/>
    </row>
    <row r="6" spans="2:10" x14ac:dyDescent="0.3">
      <c r="B6" s="56" t="s">
        <v>13</v>
      </c>
      <c r="C6" s="87">
        <f>C8+C13+C15+C22+C27</f>
        <v>129.39999999999998</v>
      </c>
      <c r="D6" s="57" t="s">
        <v>163</v>
      </c>
      <c r="E6" s="88">
        <f>E8+E13+E15+E22+E27</f>
        <v>96.699999999999989</v>
      </c>
      <c r="F6" s="58" t="s">
        <v>10</v>
      </c>
      <c r="G6" s="88">
        <f>G8+G13+G15+G22</f>
        <v>226.20000000000002</v>
      </c>
      <c r="H6" s="89">
        <f>H8+H13+H15+H22+H27</f>
        <v>97</v>
      </c>
      <c r="I6" s="58" t="s">
        <v>10</v>
      </c>
      <c r="J6" s="53" t="s">
        <v>11</v>
      </c>
    </row>
    <row r="7" spans="2:10" ht="4.5" customHeight="1" x14ac:dyDescent="0.3">
      <c r="B7" s="90"/>
      <c r="C7" s="91"/>
      <c r="D7" s="59"/>
      <c r="E7" s="92"/>
      <c r="F7" s="60"/>
      <c r="G7" s="92"/>
      <c r="H7" s="93"/>
      <c r="I7" s="60"/>
      <c r="J7" s="53"/>
    </row>
    <row r="8" spans="2:10" s="98" customFormat="1" ht="16" customHeight="1" x14ac:dyDescent="0.35">
      <c r="B8" s="94" t="s">
        <v>6</v>
      </c>
      <c r="C8" s="95">
        <v>43.1</v>
      </c>
      <c r="D8" s="61"/>
      <c r="E8" s="96">
        <v>29.1</v>
      </c>
      <c r="F8" s="62" t="s">
        <v>26</v>
      </c>
      <c r="G8" s="97">
        <v>72.3</v>
      </c>
      <c r="H8" s="96">
        <v>53</v>
      </c>
      <c r="I8" s="63" t="s">
        <v>26</v>
      </c>
      <c r="J8" s="64" t="s">
        <v>14</v>
      </c>
    </row>
    <row r="9" spans="2:10" x14ac:dyDescent="0.3">
      <c r="B9" s="99" t="s">
        <v>41</v>
      </c>
      <c r="C9" s="100">
        <v>9.9</v>
      </c>
      <c r="D9" s="65" t="s">
        <v>255</v>
      </c>
      <c r="E9" s="101">
        <v>9.9</v>
      </c>
      <c r="F9" s="66" t="s">
        <v>31</v>
      </c>
      <c r="G9" s="102">
        <v>19.899999999999999</v>
      </c>
      <c r="H9" s="103">
        <v>33.4</v>
      </c>
      <c r="I9" s="67" t="s">
        <v>27</v>
      </c>
      <c r="J9" s="53" t="s">
        <v>19</v>
      </c>
    </row>
    <row r="10" spans="2:10" x14ac:dyDescent="0.3">
      <c r="B10" s="99" t="s">
        <v>42</v>
      </c>
      <c r="C10" s="100">
        <v>19.8</v>
      </c>
      <c r="D10" s="68" t="s">
        <v>256</v>
      </c>
      <c r="E10" s="101">
        <v>7.2</v>
      </c>
      <c r="F10" s="69" t="s">
        <v>32</v>
      </c>
      <c r="G10" s="104">
        <v>27</v>
      </c>
      <c r="H10" s="101">
        <v>12.6</v>
      </c>
      <c r="I10" s="70" t="s">
        <v>21</v>
      </c>
      <c r="J10" s="53" t="s">
        <v>15</v>
      </c>
    </row>
    <row r="11" spans="2:10" x14ac:dyDescent="0.3">
      <c r="B11" s="99" t="s">
        <v>43</v>
      </c>
      <c r="C11" s="105">
        <v>8.1999999999999993</v>
      </c>
      <c r="D11" s="68" t="s">
        <v>257</v>
      </c>
      <c r="E11" s="106">
        <v>7.8</v>
      </c>
      <c r="F11" s="66" t="s">
        <v>31</v>
      </c>
      <c r="G11" s="102">
        <v>16</v>
      </c>
      <c r="H11" s="106"/>
      <c r="I11" s="67"/>
      <c r="J11" s="53" t="s">
        <v>15</v>
      </c>
    </row>
    <row r="12" spans="2:10" x14ac:dyDescent="0.3">
      <c r="B12" s="99" t="s">
        <v>44</v>
      </c>
      <c r="C12" s="105">
        <v>5.2</v>
      </c>
      <c r="D12" s="65" t="s">
        <v>255</v>
      </c>
      <c r="E12" s="101">
        <v>4.2</v>
      </c>
      <c r="F12" s="69" t="s">
        <v>32</v>
      </c>
      <c r="G12" s="102">
        <v>9.4</v>
      </c>
      <c r="H12" s="103">
        <v>7</v>
      </c>
      <c r="I12" s="67" t="s">
        <v>28</v>
      </c>
      <c r="J12" s="53" t="s">
        <v>15</v>
      </c>
    </row>
    <row r="13" spans="2:10" s="98" customFormat="1" ht="16" customHeight="1" x14ac:dyDescent="0.3">
      <c r="B13" s="94" t="s">
        <v>7</v>
      </c>
      <c r="C13" s="107">
        <v>9</v>
      </c>
      <c r="D13" s="61" t="s">
        <v>258</v>
      </c>
      <c r="E13" s="108">
        <v>9</v>
      </c>
      <c r="F13" s="69" t="s">
        <v>32</v>
      </c>
      <c r="G13" s="97">
        <v>18</v>
      </c>
      <c r="H13" s="108"/>
      <c r="I13" s="71"/>
      <c r="J13" s="64" t="s">
        <v>16</v>
      </c>
    </row>
    <row r="14" spans="2:10" ht="4" customHeight="1" x14ac:dyDescent="0.3">
      <c r="B14" s="109"/>
      <c r="C14" s="110"/>
      <c r="D14" s="59"/>
      <c r="E14" s="93"/>
      <c r="F14" s="60"/>
      <c r="G14" s="111"/>
      <c r="H14" s="93"/>
      <c r="I14" s="60"/>
      <c r="J14" s="53"/>
    </row>
    <row r="15" spans="2:10" s="98" customFormat="1" ht="16" customHeight="1" x14ac:dyDescent="0.35">
      <c r="B15" s="94" t="s">
        <v>8</v>
      </c>
      <c r="C15" s="107">
        <v>44</v>
      </c>
      <c r="D15" s="72" t="s">
        <v>39</v>
      </c>
      <c r="E15" s="108">
        <v>38.5</v>
      </c>
      <c r="F15" s="62" t="s">
        <v>402</v>
      </c>
      <c r="G15" s="112">
        <v>82.5</v>
      </c>
      <c r="H15" s="108">
        <v>44</v>
      </c>
      <c r="I15" s="63"/>
      <c r="J15" s="64" t="s">
        <v>14</v>
      </c>
    </row>
    <row r="16" spans="2:10" s="98" customFormat="1" ht="52" x14ac:dyDescent="0.35">
      <c r="B16" s="113" t="s">
        <v>45</v>
      </c>
      <c r="C16" s="114">
        <v>14.5</v>
      </c>
      <c r="D16" s="73" t="s">
        <v>259</v>
      </c>
      <c r="E16" s="115">
        <f>11+1.052*7/3</f>
        <v>13.454666666666666</v>
      </c>
      <c r="F16" s="74" t="s">
        <v>36</v>
      </c>
      <c r="G16" s="116">
        <v>28</v>
      </c>
      <c r="H16" s="117">
        <v>0.9</v>
      </c>
      <c r="I16" s="71"/>
      <c r="J16" s="75" t="s">
        <v>137</v>
      </c>
    </row>
    <row r="17" spans="2:10" x14ac:dyDescent="0.3">
      <c r="B17" s="99" t="s">
        <v>46</v>
      </c>
      <c r="C17" s="100">
        <v>8.4</v>
      </c>
      <c r="D17" s="68" t="s">
        <v>260</v>
      </c>
      <c r="E17" s="118">
        <v>11.5</v>
      </c>
      <c r="F17" s="66" t="s">
        <v>91</v>
      </c>
      <c r="G17" s="102">
        <v>19.899999999999999</v>
      </c>
      <c r="H17" s="101">
        <v>31.8</v>
      </c>
      <c r="I17" s="70" t="s">
        <v>21</v>
      </c>
      <c r="J17" s="53" t="s">
        <v>17</v>
      </c>
    </row>
    <row r="18" spans="2:10" x14ac:dyDescent="0.3">
      <c r="B18" s="99" t="s">
        <v>47</v>
      </c>
      <c r="C18" s="100">
        <v>8.4</v>
      </c>
      <c r="D18" s="73" t="s">
        <v>261</v>
      </c>
      <c r="E18" s="118">
        <v>6.8</v>
      </c>
      <c r="F18" s="67" t="s">
        <v>36</v>
      </c>
      <c r="G18" s="103">
        <v>15.2</v>
      </c>
      <c r="H18" s="106">
        <v>11.3</v>
      </c>
      <c r="I18" s="67" t="s">
        <v>22</v>
      </c>
      <c r="J18" s="53" t="s">
        <v>17</v>
      </c>
    </row>
    <row r="19" spans="2:10" x14ac:dyDescent="0.3">
      <c r="B19" s="99" t="s">
        <v>48</v>
      </c>
      <c r="C19" s="105">
        <v>8</v>
      </c>
      <c r="D19" s="68" t="s">
        <v>262</v>
      </c>
      <c r="E19" s="118">
        <v>4.5999999999999996</v>
      </c>
      <c r="F19" s="67" t="s">
        <v>37</v>
      </c>
      <c r="G19" s="103">
        <v>12.6</v>
      </c>
      <c r="H19" s="101">
        <v>0.4</v>
      </c>
      <c r="I19" s="67"/>
      <c r="J19" s="53" t="s">
        <v>17</v>
      </c>
    </row>
    <row r="20" spans="2:10" x14ac:dyDescent="0.3">
      <c r="B20" s="99" t="s">
        <v>49</v>
      </c>
      <c r="C20" s="100">
        <v>3.8</v>
      </c>
      <c r="D20" s="68" t="s">
        <v>263</v>
      </c>
      <c r="E20" s="118"/>
      <c r="F20" s="67"/>
      <c r="G20" s="103">
        <f>C20</f>
        <v>3.8</v>
      </c>
      <c r="H20" s="101"/>
      <c r="I20" s="67"/>
      <c r="J20" s="53" t="s">
        <v>17</v>
      </c>
    </row>
    <row r="21" spans="2:10" x14ac:dyDescent="0.3">
      <c r="B21" s="99" t="s">
        <v>50</v>
      </c>
      <c r="C21" s="100">
        <v>0.9</v>
      </c>
      <c r="D21" s="68" t="s">
        <v>264</v>
      </c>
      <c r="E21" s="118">
        <f>C21*7/3</f>
        <v>2.1</v>
      </c>
      <c r="F21" s="67"/>
      <c r="G21" s="103">
        <v>3</v>
      </c>
      <c r="H21" s="101"/>
      <c r="I21" s="67" t="s">
        <v>399</v>
      </c>
      <c r="J21" s="53" t="s">
        <v>17</v>
      </c>
    </row>
    <row r="22" spans="2:10" s="98" customFormat="1" ht="16" customHeight="1" x14ac:dyDescent="0.35">
      <c r="B22" s="94" t="s">
        <v>9</v>
      </c>
      <c r="C22" s="95">
        <v>33.299999999999997</v>
      </c>
      <c r="D22" s="72" t="s">
        <v>40</v>
      </c>
      <c r="E22" s="119">
        <v>20.100000000000001</v>
      </c>
      <c r="F22" s="62" t="s">
        <v>402</v>
      </c>
      <c r="G22" s="97">
        <v>53.4</v>
      </c>
      <c r="H22" s="96"/>
      <c r="I22" s="71"/>
      <c r="J22" s="64" t="s">
        <v>14</v>
      </c>
    </row>
    <row r="23" spans="2:10" x14ac:dyDescent="0.3">
      <c r="B23" s="99" t="s">
        <v>51</v>
      </c>
      <c r="C23" s="100">
        <v>11.6</v>
      </c>
      <c r="D23" s="68" t="s">
        <v>262</v>
      </c>
      <c r="E23" s="118"/>
      <c r="F23" s="67"/>
      <c r="G23" s="103">
        <f>C23</f>
        <v>11.6</v>
      </c>
      <c r="H23" s="101"/>
      <c r="I23" s="67"/>
      <c r="J23" s="53" t="s">
        <v>18</v>
      </c>
    </row>
    <row r="24" spans="2:10" x14ac:dyDescent="0.3">
      <c r="B24" s="99" t="s">
        <v>47</v>
      </c>
      <c r="C24" s="100">
        <v>9.6999999999999993</v>
      </c>
      <c r="D24" s="73" t="s">
        <v>261</v>
      </c>
      <c r="E24" s="118">
        <v>2.6</v>
      </c>
      <c r="F24" s="67" t="s">
        <v>30</v>
      </c>
      <c r="G24" s="103">
        <v>12.3</v>
      </c>
      <c r="H24" s="101"/>
      <c r="I24" s="67"/>
      <c r="J24" s="53" t="s">
        <v>18</v>
      </c>
    </row>
    <row r="25" spans="2:10" x14ac:dyDescent="0.3">
      <c r="B25" s="99" t="s">
        <v>49</v>
      </c>
      <c r="C25" s="100">
        <v>6.1</v>
      </c>
      <c r="D25" s="68" t="s">
        <v>263</v>
      </c>
      <c r="E25" s="118">
        <v>3.5</v>
      </c>
      <c r="F25" s="67" t="s">
        <v>30</v>
      </c>
      <c r="G25" s="103">
        <v>9.6</v>
      </c>
      <c r="H25" s="101"/>
      <c r="I25" s="67"/>
      <c r="J25" s="53" t="s">
        <v>18</v>
      </c>
    </row>
    <row r="26" spans="2:10" ht="13.5" thickBot="1" x14ac:dyDescent="0.35">
      <c r="B26" s="120" t="s">
        <v>52</v>
      </c>
      <c r="C26" s="121">
        <v>6</v>
      </c>
      <c r="D26" s="76" t="s">
        <v>264</v>
      </c>
      <c r="E26" s="122">
        <f>C26*7/3</f>
        <v>14</v>
      </c>
      <c r="F26" s="77"/>
      <c r="G26" s="123">
        <v>20</v>
      </c>
      <c r="H26" s="124"/>
      <c r="I26" s="77"/>
      <c r="J26" s="78" t="s">
        <v>18</v>
      </c>
    </row>
    <row r="27" spans="2:10" x14ac:dyDescent="0.3">
      <c r="B27" s="2"/>
    </row>
    <row r="28" spans="2:10" x14ac:dyDescent="0.3">
      <c r="B28" s="50" t="s">
        <v>154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E71BC4-C419-4290-80CE-81776ADF21C4}">
  <sheetPr>
    <pageSetUpPr fitToPage="1"/>
  </sheetPr>
  <dimension ref="A1:P24"/>
  <sheetViews>
    <sheetView zoomScaleNormal="100" workbookViewId="0">
      <selection activeCell="B20" sqref="B20"/>
    </sheetView>
  </sheetViews>
  <sheetFormatPr baseColWidth="10" defaultRowHeight="11.5" x14ac:dyDescent="0.25"/>
  <cols>
    <col min="1" max="1" width="5.1796875" style="125" customWidth="1"/>
    <col min="2" max="2" width="41.6328125" style="125" customWidth="1"/>
    <col min="3" max="3" width="7.54296875" style="125" bestFit="1" customWidth="1"/>
    <col min="4" max="4" width="10.26953125" style="125" bestFit="1" customWidth="1"/>
    <col min="5" max="5" width="5.1796875" style="125" customWidth="1"/>
    <col min="6" max="6" width="34.1796875" style="125" bestFit="1" customWidth="1"/>
    <col min="7" max="7" width="9.26953125" style="125" customWidth="1"/>
    <col min="8" max="9" width="10" style="125" customWidth="1"/>
    <col min="10" max="10" width="51.36328125" style="125" bestFit="1" customWidth="1"/>
    <col min="11" max="11" width="2.26953125" style="125" customWidth="1"/>
    <col min="12" max="16" width="7.7265625" style="254" hidden="1" customWidth="1"/>
    <col min="17" max="16384" width="10.90625" style="125"/>
  </cols>
  <sheetData>
    <row r="1" spans="1:16" ht="12" thickBot="1" x14ac:dyDescent="0.3">
      <c r="A1" s="19" t="s">
        <v>5</v>
      </c>
      <c r="B1" s="19"/>
      <c r="C1" s="19"/>
      <c r="D1" s="19"/>
      <c r="E1" s="19"/>
    </row>
    <row r="2" spans="1:16" ht="30" customHeight="1" x14ac:dyDescent="0.25">
      <c r="B2" s="126" t="s">
        <v>265</v>
      </c>
      <c r="C2" s="127"/>
      <c r="D2" s="128"/>
      <c r="F2" s="129" t="s">
        <v>266</v>
      </c>
      <c r="G2" s="130" t="s">
        <v>152</v>
      </c>
      <c r="H2" s="131" t="s">
        <v>300</v>
      </c>
      <c r="I2" s="131" t="s">
        <v>53</v>
      </c>
      <c r="J2" s="132" t="s">
        <v>12</v>
      </c>
      <c r="L2" s="255" t="s">
        <v>270</v>
      </c>
      <c r="M2" s="255" t="s">
        <v>272</v>
      </c>
      <c r="N2" s="255" t="s">
        <v>269</v>
      </c>
      <c r="O2" s="255" t="s">
        <v>271</v>
      </c>
      <c r="P2" s="255" t="s">
        <v>273</v>
      </c>
    </row>
    <row r="3" spans="1:16" x14ac:dyDescent="0.25">
      <c r="B3" s="133"/>
      <c r="C3" s="134" t="s">
        <v>69</v>
      </c>
      <c r="D3" s="135" t="s">
        <v>70</v>
      </c>
      <c r="F3" s="136" t="s">
        <v>6</v>
      </c>
      <c r="G3" s="137">
        <f>Flux!C8</f>
        <v>43.1</v>
      </c>
      <c r="H3" s="138">
        <f>Flux!E8</f>
        <v>29.1</v>
      </c>
      <c r="I3" s="138">
        <v>72.3</v>
      </c>
      <c r="J3" s="132" t="s">
        <v>157</v>
      </c>
      <c r="L3" s="256">
        <f>SUM(L4:L24)</f>
        <v>-17.275000000000002</v>
      </c>
      <c r="M3" s="256">
        <f>SUM(M4:M24)</f>
        <v>-7.8</v>
      </c>
      <c r="N3" s="256">
        <f>SUM(N4:N24)</f>
        <v>-4.8</v>
      </c>
      <c r="O3" s="256">
        <f>SUM(O4:O24)</f>
        <v>-20.425000000000001</v>
      </c>
      <c r="P3" s="256">
        <f>SUM(P4:P24)</f>
        <v>0</v>
      </c>
    </row>
    <row r="4" spans="1:16" x14ac:dyDescent="0.25">
      <c r="B4" s="139" t="s">
        <v>71</v>
      </c>
      <c r="C4" s="140">
        <v>465</v>
      </c>
      <c r="D4" s="141">
        <v>89.406000000000006</v>
      </c>
      <c r="F4" s="142" t="s">
        <v>41</v>
      </c>
      <c r="G4" s="137">
        <v>9.9</v>
      </c>
      <c r="H4" s="138">
        <v>9.9</v>
      </c>
      <c r="I4" s="138">
        <v>19.899999999999999</v>
      </c>
      <c r="J4" s="132" t="s">
        <v>158</v>
      </c>
      <c r="L4" s="256">
        <f>(-G4+SUM(G5:G7))/2</f>
        <v>-0.95000000000000018</v>
      </c>
      <c r="O4" s="256">
        <f>(-G4+SUM(G5:G7))/2</f>
        <v>-0.95000000000000018</v>
      </c>
    </row>
    <row r="5" spans="1:16" x14ac:dyDescent="0.25">
      <c r="B5" s="139" t="s">
        <v>72</v>
      </c>
      <c r="C5" s="143">
        <v>465</v>
      </c>
      <c r="D5" s="144">
        <v>101.32098861047834</v>
      </c>
      <c r="F5" s="145" t="s">
        <v>57</v>
      </c>
      <c r="G5" s="146">
        <v>4.4000000000000004</v>
      </c>
      <c r="H5" s="147">
        <v>4.4000000000000004</v>
      </c>
      <c r="I5" s="147">
        <v>8.8000000000000007</v>
      </c>
      <c r="J5" s="132"/>
      <c r="L5" s="254">
        <f>-G5/2</f>
        <v>-2.2000000000000002</v>
      </c>
      <c r="O5" s="254">
        <f>-G5/2</f>
        <v>-2.2000000000000002</v>
      </c>
    </row>
    <row r="6" spans="1:16" x14ac:dyDescent="0.25">
      <c r="B6" s="139" t="s">
        <v>73</v>
      </c>
      <c r="C6" s="140">
        <v>47</v>
      </c>
      <c r="D6" s="141">
        <v>3.7749999999999999</v>
      </c>
      <c r="F6" s="145" t="s">
        <v>56</v>
      </c>
      <c r="G6" s="146">
        <v>2.8</v>
      </c>
      <c r="H6" s="147">
        <v>2.8</v>
      </c>
      <c r="I6" s="147">
        <v>5.7</v>
      </c>
      <c r="J6" s="132"/>
      <c r="L6" s="254">
        <f t="shared" ref="L6:L7" si="0">-G6/2</f>
        <v>-1.4</v>
      </c>
      <c r="O6" s="254">
        <f t="shared" ref="O6:O7" si="1">-G6/2</f>
        <v>-1.4</v>
      </c>
    </row>
    <row r="7" spans="1:16" x14ac:dyDescent="0.25">
      <c r="B7" s="139" t="s">
        <v>74</v>
      </c>
      <c r="C7" s="140">
        <v>35</v>
      </c>
      <c r="D7" s="141">
        <v>1.298731207289294</v>
      </c>
      <c r="F7" s="145" t="s">
        <v>58</v>
      </c>
      <c r="G7" s="146">
        <v>0.8</v>
      </c>
      <c r="H7" s="147">
        <v>0.8</v>
      </c>
      <c r="I7" s="147">
        <v>1.6</v>
      </c>
      <c r="J7" s="132"/>
      <c r="L7" s="254">
        <f t="shared" si="0"/>
        <v>-0.4</v>
      </c>
      <c r="O7" s="254">
        <f t="shared" si="1"/>
        <v>-0.4</v>
      </c>
    </row>
    <row r="8" spans="1:16" x14ac:dyDescent="0.25">
      <c r="B8" s="139" t="s">
        <v>75</v>
      </c>
      <c r="C8" s="140">
        <v>21</v>
      </c>
      <c r="D8" s="148">
        <v>33.381877022653718</v>
      </c>
      <c r="F8" s="142" t="s">
        <v>42</v>
      </c>
      <c r="G8" s="137">
        <v>19.8</v>
      </c>
      <c r="H8" s="138">
        <v>7.2</v>
      </c>
      <c r="I8" s="149">
        <v>27</v>
      </c>
      <c r="J8" s="132" t="s">
        <v>160</v>
      </c>
      <c r="L8" s="256">
        <f>-G8+SUM(G9:G13)</f>
        <v>-4.9000000000000021</v>
      </c>
    </row>
    <row r="9" spans="1:16" x14ac:dyDescent="0.25">
      <c r="B9" s="139" t="s">
        <v>72</v>
      </c>
      <c r="C9" s="143">
        <v>486</v>
      </c>
      <c r="D9" s="150">
        <v>134.70286563313206</v>
      </c>
      <c r="F9" s="145" t="s">
        <v>55</v>
      </c>
      <c r="G9" s="151">
        <v>4.8</v>
      </c>
      <c r="H9" s="152">
        <v>3.4</v>
      </c>
      <c r="I9" s="152">
        <v>8.1999999999999993</v>
      </c>
      <c r="J9" s="132" t="s">
        <v>155</v>
      </c>
      <c r="M9" s="256">
        <f>-G9</f>
        <v>-4.8</v>
      </c>
    </row>
    <row r="10" spans="1:16" ht="12" customHeight="1" x14ac:dyDescent="0.25">
      <c r="B10" s="153" t="s">
        <v>76</v>
      </c>
      <c r="C10" s="154"/>
      <c r="D10" s="155"/>
      <c r="F10" s="145" t="s">
        <v>54</v>
      </c>
      <c r="G10" s="146">
        <v>4.8</v>
      </c>
      <c r="H10" s="147"/>
      <c r="I10" s="152">
        <v>4.8</v>
      </c>
      <c r="J10" s="132" t="s">
        <v>159</v>
      </c>
      <c r="N10" s="256">
        <f>-G10</f>
        <v>-4.8</v>
      </c>
    </row>
    <row r="11" spans="1:16" ht="12" thickBot="1" x14ac:dyDescent="0.3">
      <c r="B11" s="156" t="s">
        <v>77</v>
      </c>
      <c r="C11" s="157"/>
      <c r="D11" s="158"/>
      <c r="F11" s="145" t="s">
        <v>59</v>
      </c>
      <c r="G11" s="151">
        <v>3.3</v>
      </c>
      <c r="H11" s="147">
        <v>0.6</v>
      </c>
      <c r="I11" s="152">
        <v>2.7</v>
      </c>
      <c r="J11" s="132" t="s">
        <v>156</v>
      </c>
      <c r="L11" s="256">
        <f>-G11</f>
        <v>-3.3</v>
      </c>
    </row>
    <row r="12" spans="1:16" x14ac:dyDescent="0.25">
      <c r="F12" s="145" t="s">
        <v>61</v>
      </c>
      <c r="G12" s="151">
        <v>1</v>
      </c>
      <c r="H12" s="152">
        <v>1</v>
      </c>
      <c r="I12" s="152">
        <v>2</v>
      </c>
      <c r="J12" s="132"/>
      <c r="L12" s="256">
        <f>-G12</f>
        <v>-1</v>
      </c>
    </row>
    <row r="13" spans="1:16" x14ac:dyDescent="0.25">
      <c r="F13" s="145" t="s">
        <v>60</v>
      </c>
      <c r="G13" s="151">
        <v>1</v>
      </c>
      <c r="H13" s="152">
        <v>1</v>
      </c>
      <c r="I13" s="152">
        <v>2</v>
      </c>
      <c r="J13" s="132" t="s">
        <v>180</v>
      </c>
    </row>
    <row r="14" spans="1:16" x14ac:dyDescent="0.25">
      <c r="F14" s="142" t="s">
        <v>43</v>
      </c>
      <c r="G14" s="159">
        <v>8.1999999999999993</v>
      </c>
      <c r="H14" s="149">
        <v>7.8</v>
      </c>
      <c r="I14" s="149">
        <v>16</v>
      </c>
      <c r="J14" s="132" t="s">
        <v>34</v>
      </c>
      <c r="O14" s="256">
        <f>-G14+SUM(G15:G19)</f>
        <v>-1.2999999999999998</v>
      </c>
    </row>
    <row r="15" spans="1:16" x14ac:dyDescent="0.25">
      <c r="F15" s="145" t="s">
        <v>65</v>
      </c>
      <c r="G15" s="151">
        <v>4.0999999999999996</v>
      </c>
      <c r="H15" s="152">
        <v>4.0999999999999996</v>
      </c>
      <c r="I15" s="152">
        <v>8.1</v>
      </c>
      <c r="J15" s="132"/>
      <c r="O15" s="256">
        <f>-G15</f>
        <v>-4.0999999999999996</v>
      </c>
    </row>
    <row r="16" spans="1:16" x14ac:dyDescent="0.25">
      <c r="F16" s="145" t="s">
        <v>68</v>
      </c>
      <c r="G16" s="151">
        <v>1</v>
      </c>
      <c r="H16" s="152">
        <v>0.6</v>
      </c>
      <c r="I16" s="152">
        <v>1.6</v>
      </c>
      <c r="J16" s="132"/>
      <c r="O16" s="256">
        <f>-G16</f>
        <v>-1</v>
      </c>
    </row>
    <row r="17" spans="6:16" x14ac:dyDescent="0.25">
      <c r="F17" s="145" t="s">
        <v>60</v>
      </c>
      <c r="G17" s="151">
        <v>0.8</v>
      </c>
      <c r="H17" s="152">
        <v>0.8</v>
      </c>
      <c r="I17" s="152">
        <v>1.6</v>
      </c>
      <c r="J17" s="132" t="s">
        <v>180</v>
      </c>
      <c r="O17" s="256"/>
    </row>
    <row r="18" spans="6:16" x14ac:dyDescent="0.25">
      <c r="F18" s="145" t="s">
        <v>66</v>
      </c>
      <c r="G18" s="151">
        <v>0.6</v>
      </c>
      <c r="H18" s="152">
        <v>0.6</v>
      </c>
      <c r="I18" s="152">
        <v>1.2</v>
      </c>
      <c r="J18" s="132"/>
      <c r="O18" s="256">
        <f>-G18</f>
        <v>-0.6</v>
      </c>
    </row>
    <row r="19" spans="6:16" x14ac:dyDescent="0.25">
      <c r="F19" s="145" t="s">
        <v>67</v>
      </c>
      <c r="G19" s="151">
        <v>0.4</v>
      </c>
      <c r="H19" s="152">
        <v>0.4</v>
      </c>
      <c r="I19" s="152">
        <v>0.8</v>
      </c>
      <c r="J19" s="132"/>
      <c r="L19" s="256">
        <f>-G19</f>
        <v>-0.4</v>
      </c>
    </row>
    <row r="20" spans="6:16" s="160" customFormat="1" x14ac:dyDescent="0.25">
      <c r="F20" s="142" t="s">
        <v>44</v>
      </c>
      <c r="G20" s="159">
        <v>5.2</v>
      </c>
      <c r="H20" s="138">
        <v>4.2</v>
      </c>
      <c r="I20" s="138">
        <v>9.4</v>
      </c>
      <c r="J20" s="132" t="s">
        <v>29</v>
      </c>
      <c r="L20" s="256">
        <f>(-G20+SUM(G21:G23))/2</f>
        <v>-0.64999999999999991</v>
      </c>
      <c r="M20" s="257"/>
      <c r="N20" s="257"/>
      <c r="O20" s="256">
        <f>(-G20+SUM(G21:G23))/2</f>
        <v>-0.64999999999999991</v>
      </c>
      <c r="P20" s="257"/>
    </row>
    <row r="21" spans="6:16" s="160" customFormat="1" x14ac:dyDescent="0.25">
      <c r="F21" s="145" t="s">
        <v>64</v>
      </c>
      <c r="G21" s="151">
        <v>1.7</v>
      </c>
      <c r="H21" s="147">
        <v>1.7</v>
      </c>
      <c r="I21" s="152">
        <v>3.3</v>
      </c>
      <c r="J21" s="132" t="s">
        <v>161</v>
      </c>
      <c r="L21" s="256">
        <f>-G21</f>
        <v>-1.7</v>
      </c>
      <c r="M21" s="257"/>
      <c r="N21" s="257"/>
      <c r="O21" s="257"/>
      <c r="P21" s="257"/>
    </row>
    <row r="22" spans="6:16" s="160" customFormat="1" x14ac:dyDescent="0.25">
      <c r="F22" s="145" t="s">
        <v>63</v>
      </c>
      <c r="G22" s="151">
        <v>1.5</v>
      </c>
      <c r="H22" s="147">
        <v>1.5</v>
      </c>
      <c r="I22" s="147">
        <v>2.9</v>
      </c>
      <c r="J22" s="132" t="s">
        <v>162</v>
      </c>
      <c r="L22" s="256">
        <f>-G22/4</f>
        <v>-0.375</v>
      </c>
      <c r="M22" s="257"/>
      <c r="N22" s="257"/>
      <c r="O22" s="256">
        <f>-G22*3/4</f>
        <v>-1.125</v>
      </c>
      <c r="P22" s="257"/>
    </row>
    <row r="23" spans="6:16" x14ac:dyDescent="0.25">
      <c r="F23" s="145" t="s">
        <v>62</v>
      </c>
      <c r="G23" s="151">
        <v>0.7</v>
      </c>
      <c r="H23" s="147">
        <v>0.7</v>
      </c>
      <c r="I23" s="152">
        <v>1.5</v>
      </c>
      <c r="J23" s="132"/>
      <c r="O23" s="256">
        <f>-G23</f>
        <v>-0.7</v>
      </c>
    </row>
    <row r="24" spans="6:16" x14ac:dyDescent="0.25">
      <c r="F24" s="161" t="s">
        <v>7</v>
      </c>
      <c r="G24" s="162">
        <v>9</v>
      </c>
      <c r="H24" s="138">
        <v>9</v>
      </c>
      <c r="I24" s="138">
        <v>18</v>
      </c>
      <c r="J24" s="132" t="s">
        <v>35</v>
      </c>
      <c r="M24" s="254">
        <f>-G24/3</f>
        <v>-3</v>
      </c>
      <c r="O24" s="254">
        <f>-G24*2/3</f>
        <v>-6</v>
      </c>
    </row>
  </sheetData>
  <pageMargins left="0.7" right="0.7" top="0.75" bottom="0.75" header="0.3" footer="0.3"/>
  <pageSetup paperSize="9" scale="5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EE75E-EE58-4446-A7DE-FDB53452ECD9}">
  <sheetPr>
    <pageSetUpPr fitToPage="1"/>
  </sheetPr>
  <dimension ref="A1:V43"/>
  <sheetViews>
    <sheetView zoomScaleNormal="100" workbookViewId="0">
      <selection activeCell="K9" sqref="K9"/>
    </sheetView>
  </sheetViews>
  <sheetFormatPr baseColWidth="10" defaultRowHeight="13" x14ac:dyDescent="0.3"/>
  <cols>
    <col min="1" max="1" width="5.36328125" style="261" bestFit="1" customWidth="1"/>
    <col min="2" max="2" width="1.453125" style="1" customWidth="1"/>
    <col min="3" max="3" width="37.36328125" style="1" bestFit="1" customWidth="1"/>
    <col min="4" max="4" width="9.54296875" style="1" customWidth="1"/>
    <col min="5" max="5" width="9.36328125" style="1" customWidth="1"/>
    <col min="6" max="6" width="10.36328125" style="1" customWidth="1"/>
    <col min="7" max="7" width="61.453125" style="1" customWidth="1"/>
    <col min="8" max="8" width="2.90625" style="1" customWidth="1"/>
    <col min="9" max="9" width="10.90625" style="198"/>
    <col min="10" max="10" width="11.1796875" style="1" bestFit="1" customWidth="1"/>
    <col min="11" max="17" width="8.36328125" style="1" customWidth="1"/>
    <col min="18" max="18" width="8" style="263" bestFit="1" customWidth="1"/>
    <col min="19" max="19" width="6" style="263" customWidth="1"/>
    <col min="20" max="20" width="8.1796875" style="263" bestFit="1" customWidth="1"/>
    <col min="21" max="22" width="9.90625" style="263" bestFit="1" customWidth="1"/>
    <col min="23" max="16384" width="10.90625" style="1"/>
  </cols>
  <sheetData>
    <row r="1" spans="1:22" ht="13.5" thickBot="1" x14ac:dyDescent="0.35">
      <c r="A1" s="260"/>
      <c r="B1" s="50"/>
      <c r="J1" s="1" t="s">
        <v>403</v>
      </c>
    </row>
    <row r="2" spans="1:22" ht="26" x14ac:dyDescent="0.3">
      <c r="C2" s="164" t="s">
        <v>267</v>
      </c>
      <c r="D2" s="165" t="s">
        <v>152</v>
      </c>
      <c r="E2" s="86" t="s">
        <v>151</v>
      </c>
      <c r="F2" s="86" t="s">
        <v>53</v>
      </c>
      <c r="G2" s="163" t="s">
        <v>12</v>
      </c>
      <c r="I2" s="198" t="s">
        <v>404</v>
      </c>
      <c r="J2" s="267">
        <v>580000</v>
      </c>
      <c r="R2" s="264" t="s">
        <v>270</v>
      </c>
      <c r="S2" s="264" t="s">
        <v>272</v>
      </c>
      <c r="T2" s="264" t="s">
        <v>269</v>
      </c>
      <c r="U2" s="264" t="s">
        <v>271</v>
      </c>
      <c r="V2" s="264" t="s">
        <v>274</v>
      </c>
    </row>
    <row r="3" spans="1:22" x14ac:dyDescent="0.3">
      <c r="C3" s="166" t="s">
        <v>8</v>
      </c>
      <c r="D3" s="167">
        <f>Flux!C15</f>
        <v>44</v>
      </c>
      <c r="E3" s="168">
        <f>Flux!E15</f>
        <v>38.5</v>
      </c>
      <c r="F3" s="168">
        <f>Flux!G15</f>
        <v>82.5</v>
      </c>
      <c r="G3" s="72" t="s">
        <v>179</v>
      </c>
      <c r="I3" s="198" t="s">
        <v>199</v>
      </c>
      <c r="J3" s="267">
        <v>151000</v>
      </c>
      <c r="R3" s="263">
        <f>SUM(R4:R43)</f>
        <v>-18.899999999999999</v>
      </c>
      <c r="S3" s="263">
        <f t="shared" ref="S3:V3" si="0">SUM(S4:S43)</f>
        <v>-10.15</v>
      </c>
      <c r="T3" s="263">
        <f t="shared" si="0"/>
        <v>0</v>
      </c>
      <c r="U3" s="263">
        <f>SUM(U4:U43)</f>
        <v>-17.75</v>
      </c>
      <c r="V3" s="263">
        <f t="shared" si="0"/>
        <v>0</v>
      </c>
    </row>
    <row r="4" spans="1:22" s="2" customFormat="1" x14ac:dyDescent="0.3">
      <c r="A4" s="262"/>
      <c r="C4" s="169" t="s">
        <v>268</v>
      </c>
      <c r="D4" s="170">
        <f>Flux!C16</f>
        <v>14.5</v>
      </c>
      <c r="E4" s="168">
        <f>Flux!E16</f>
        <v>13.454666666666666</v>
      </c>
      <c r="F4" s="171">
        <f>Flux!G16</f>
        <v>28</v>
      </c>
      <c r="G4" s="73" t="s">
        <v>164</v>
      </c>
      <c r="I4" s="217"/>
      <c r="J4" s="267"/>
      <c r="R4" s="265"/>
      <c r="S4" s="265"/>
      <c r="T4" s="265"/>
      <c r="U4" s="265"/>
      <c r="V4" s="265"/>
    </row>
    <row r="5" spans="1:22" x14ac:dyDescent="0.3">
      <c r="A5" s="261" t="s">
        <v>239</v>
      </c>
      <c r="C5" s="99" t="s">
        <v>78</v>
      </c>
      <c r="D5" s="100">
        <v>3.8</v>
      </c>
      <c r="E5" s="118">
        <v>6.7</v>
      </c>
      <c r="F5" s="118">
        <v>10.6</v>
      </c>
      <c r="G5" s="73" t="s">
        <v>165</v>
      </c>
      <c r="J5" s="267"/>
      <c r="S5" s="263">
        <f>-D5/2</f>
        <v>-1.9</v>
      </c>
      <c r="U5" s="263">
        <f>-D5/2</f>
        <v>-1.9</v>
      </c>
    </row>
    <row r="6" spans="1:22" x14ac:dyDescent="0.3">
      <c r="A6" s="261" t="s">
        <v>239</v>
      </c>
      <c r="C6" s="99" t="s">
        <v>79</v>
      </c>
      <c r="D6" s="100">
        <v>2.2000000000000002</v>
      </c>
      <c r="E6" s="172">
        <f>0.6+1.052*7/3</f>
        <v>3.0546666666666669</v>
      </c>
      <c r="F6" s="172">
        <f>E6+D6</f>
        <v>5.254666666666667</v>
      </c>
      <c r="G6" s="73" t="s">
        <v>165</v>
      </c>
      <c r="I6" s="198" t="s">
        <v>406</v>
      </c>
      <c r="J6" s="267">
        <f>0.9*53200</f>
        <v>47880</v>
      </c>
      <c r="K6" s="269" t="s">
        <v>405</v>
      </c>
      <c r="S6" s="266">
        <f>-D6/4</f>
        <v>-0.55000000000000004</v>
      </c>
      <c r="U6" s="266">
        <f>-D6/4</f>
        <v>-0.55000000000000004</v>
      </c>
    </row>
    <row r="7" spans="1:22" x14ac:dyDescent="0.3">
      <c r="A7" s="261" t="s">
        <v>240</v>
      </c>
      <c r="C7" s="99" t="s">
        <v>86</v>
      </c>
      <c r="D7" s="100">
        <v>1.3</v>
      </c>
      <c r="E7" s="118"/>
      <c r="F7" s="118">
        <v>1.3</v>
      </c>
      <c r="G7" s="73"/>
      <c r="J7" s="267"/>
    </row>
    <row r="8" spans="1:22" x14ac:dyDescent="0.3">
      <c r="A8" s="261" t="s">
        <v>240</v>
      </c>
      <c r="C8" s="99" t="s">
        <v>80</v>
      </c>
      <c r="D8" s="100">
        <v>0.7</v>
      </c>
      <c r="E8" s="172">
        <v>1.4</v>
      </c>
      <c r="F8" s="118">
        <v>2.1</v>
      </c>
      <c r="G8" s="73" t="s">
        <v>165</v>
      </c>
      <c r="J8" s="267"/>
    </row>
    <row r="9" spans="1:22" x14ac:dyDescent="0.3">
      <c r="A9" s="261" t="s">
        <v>240</v>
      </c>
      <c r="C9" s="99" t="s">
        <v>82</v>
      </c>
      <c r="D9" s="100">
        <v>0.7</v>
      </c>
      <c r="E9" s="172"/>
      <c r="F9" s="118">
        <v>0.7</v>
      </c>
      <c r="G9" s="73" t="s">
        <v>166</v>
      </c>
      <c r="J9" s="267"/>
    </row>
    <row r="10" spans="1:22" x14ac:dyDescent="0.3">
      <c r="A10" s="261" t="s">
        <v>240</v>
      </c>
      <c r="C10" s="99" t="s">
        <v>81</v>
      </c>
      <c r="D10" s="100">
        <v>0.6</v>
      </c>
      <c r="E10" s="172">
        <v>1.3</v>
      </c>
      <c r="F10" s="118">
        <v>1.9</v>
      </c>
      <c r="G10" s="73" t="s">
        <v>167</v>
      </c>
      <c r="J10" s="267"/>
    </row>
    <row r="11" spans="1:22" x14ac:dyDescent="0.3">
      <c r="A11" s="261" t="s">
        <v>241</v>
      </c>
      <c r="C11" s="99" t="s">
        <v>87</v>
      </c>
      <c r="D11" s="100">
        <v>0.5</v>
      </c>
      <c r="E11" s="172"/>
      <c r="F11" s="118">
        <v>0.5</v>
      </c>
      <c r="G11" s="73"/>
      <c r="J11" s="267"/>
      <c r="U11" s="263">
        <f>-D11</f>
        <v>-0.5</v>
      </c>
    </row>
    <row r="12" spans="1:22" x14ac:dyDescent="0.3">
      <c r="A12" s="261" t="s">
        <v>240</v>
      </c>
      <c r="C12" s="99" t="s">
        <v>83</v>
      </c>
      <c r="D12" s="100">
        <v>0.3</v>
      </c>
      <c r="E12" s="172">
        <v>0.6</v>
      </c>
      <c r="F12" s="118">
        <v>0.9</v>
      </c>
      <c r="G12" s="73" t="s">
        <v>169</v>
      </c>
      <c r="J12" s="267"/>
    </row>
    <row r="13" spans="1:22" x14ac:dyDescent="0.3">
      <c r="A13" s="261" t="s">
        <v>240</v>
      </c>
      <c r="C13" s="99" t="s">
        <v>88</v>
      </c>
      <c r="D13" s="100">
        <v>0.3</v>
      </c>
      <c r="E13" s="172"/>
      <c r="F13" s="118">
        <v>0.3</v>
      </c>
      <c r="G13" s="73"/>
      <c r="J13" s="267"/>
    </row>
    <row r="14" spans="1:22" x14ac:dyDescent="0.3">
      <c r="A14" s="261" t="s">
        <v>240</v>
      </c>
      <c r="C14" s="99" t="s">
        <v>168</v>
      </c>
      <c r="D14" s="100">
        <v>0.2</v>
      </c>
      <c r="E14" s="172">
        <v>0.2</v>
      </c>
      <c r="F14" s="118">
        <v>0.4</v>
      </c>
      <c r="G14" s="73"/>
      <c r="J14" s="267"/>
    </row>
    <row r="15" spans="1:22" x14ac:dyDescent="0.3">
      <c r="A15" s="261" t="s">
        <v>240</v>
      </c>
      <c r="C15" s="99" t="s">
        <v>89</v>
      </c>
      <c r="D15" s="100">
        <v>1.3</v>
      </c>
      <c r="E15" s="118"/>
      <c r="F15" s="118">
        <v>1.3</v>
      </c>
      <c r="G15" s="68"/>
      <c r="J15" s="267"/>
    </row>
    <row r="16" spans="1:22" x14ac:dyDescent="0.3">
      <c r="A16" s="261" t="s">
        <v>240</v>
      </c>
      <c r="C16" s="99" t="s">
        <v>247</v>
      </c>
      <c r="D16" s="100">
        <f>D4-SUM(D5:D15)</f>
        <v>2.5999999999999996</v>
      </c>
      <c r="E16" s="172">
        <f t="shared" ref="E16:F16" si="1">E4-SUM(E5:E15)</f>
        <v>0.19999999999999929</v>
      </c>
      <c r="F16" s="172">
        <f t="shared" si="1"/>
        <v>2.7453333333333347</v>
      </c>
      <c r="G16" s="68"/>
      <c r="I16" s="198" t="s">
        <v>408</v>
      </c>
      <c r="J16" s="267">
        <f>0.9*46444</f>
        <v>41799.599999999999</v>
      </c>
    </row>
    <row r="17" spans="1:22" s="2" customFormat="1" x14ac:dyDescent="0.3">
      <c r="A17" s="262"/>
      <c r="C17" s="169" t="s">
        <v>46</v>
      </c>
      <c r="D17" s="170">
        <v>8.4</v>
      </c>
      <c r="E17" s="173">
        <v>11.5</v>
      </c>
      <c r="F17" s="173">
        <v>19.899999999999999</v>
      </c>
      <c r="G17" s="68" t="s">
        <v>38</v>
      </c>
      <c r="I17" s="217"/>
      <c r="J17" s="267"/>
      <c r="R17" s="265"/>
      <c r="S17" s="265"/>
      <c r="T17" s="265"/>
      <c r="U17" s="265"/>
      <c r="V17" s="265"/>
    </row>
    <row r="18" spans="1:22" x14ac:dyDescent="0.3">
      <c r="A18" s="261" t="s">
        <v>102</v>
      </c>
      <c r="C18" s="99" t="s">
        <v>84</v>
      </c>
      <c r="D18" s="100">
        <v>5.4</v>
      </c>
      <c r="E18" s="118">
        <v>10.7</v>
      </c>
      <c r="F18" s="118">
        <v>16.100000000000001</v>
      </c>
      <c r="G18" s="68" t="s">
        <v>170</v>
      </c>
      <c r="J18" s="267"/>
      <c r="R18" s="263">
        <f>-D18</f>
        <v>-5.4</v>
      </c>
    </row>
    <row r="19" spans="1:22" x14ac:dyDescent="0.3">
      <c r="A19" s="261" t="s">
        <v>246</v>
      </c>
      <c r="C19" s="99" t="s">
        <v>90</v>
      </c>
      <c r="D19" s="100">
        <v>1.1000000000000001</v>
      </c>
      <c r="E19" s="118"/>
      <c r="F19" s="118">
        <v>1.1000000000000001</v>
      </c>
      <c r="G19" s="68" t="s">
        <v>171</v>
      </c>
      <c r="J19" s="267"/>
    </row>
    <row r="20" spans="1:22" x14ac:dyDescent="0.3">
      <c r="A20" s="261" t="s">
        <v>102</v>
      </c>
      <c r="C20" s="99" t="s">
        <v>85</v>
      </c>
      <c r="D20" s="100">
        <v>0.6</v>
      </c>
      <c r="E20" s="118"/>
      <c r="F20" s="118">
        <v>0.6</v>
      </c>
      <c r="G20" s="68"/>
      <c r="J20" s="267"/>
      <c r="R20" s="263">
        <f>-D20</f>
        <v>-0.6</v>
      </c>
    </row>
    <row r="21" spans="1:22" x14ac:dyDescent="0.3">
      <c r="A21" s="261" t="s">
        <v>239</v>
      </c>
      <c r="C21" s="99" t="s">
        <v>92</v>
      </c>
      <c r="D21" s="100">
        <v>0.4</v>
      </c>
      <c r="E21" s="118">
        <v>0.7</v>
      </c>
      <c r="F21" s="118">
        <v>1.1000000000000001</v>
      </c>
      <c r="G21" s="68" t="s">
        <v>174</v>
      </c>
      <c r="J21" s="267"/>
      <c r="R21" s="263">
        <f t="shared" ref="R21:R22" si="2">-D21</f>
        <v>-0.4</v>
      </c>
    </row>
    <row r="22" spans="1:22" x14ac:dyDescent="0.3">
      <c r="A22" s="261" t="s">
        <v>102</v>
      </c>
      <c r="C22" s="99" t="s">
        <v>247</v>
      </c>
      <c r="D22" s="100">
        <f>D17-SUM(D18:D21)</f>
        <v>0.90000000000000036</v>
      </c>
      <c r="E22" s="118">
        <f t="shared" ref="E22:F22" si="3">E17-SUM(E18:E21)</f>
        <v>0.10000000000000142</v>
      </c>
      <c r="F22" s="118">
        <f t="shared" si="3"/>
        <v>0.99999999999999289</v>
      </c>
      <c r="G22" s="68"/>
      <c r="J22" s="267"/>
      <c r="R22" s="263">
        <f t="shared" si="2"/>
        <v>-0.90000000000000036</v>
      </c>
    </row>
    <row r="23" spans="1:22" x14ac:dyDescent="0.3">
      <c r="C23" s="169" t="s">
        <v>47</v>
      </c>
      <c r="D23" s="170">
        <v>8.4</v>
      </c>
      <c r="E23" s="173">
        <v>6.8</v>
      </c>
      <c r="F23" s="173">
        <v>15.2</v>
      </c>
      <c r="G23" s="68"/>
      <c r="J23" s="267"/>
    </row>
    <row r="24" spans="1:22" x14ac:dyDescent="0.3">
      <c r="A24" s="261" t="s">
        <v>242</v>
      </c>
      <c r="C24" s="99" t="s">
        <v>93</v>
      </c>
      <c r="D24" s="100">
        <v>3.8</v>
      </c>
      <c r="E24" s="118"/>
      <c r="F24" s="118">
        <v>3.8</v>
      </c>
      <c r="G24" s="68" t="s">
        <v>172</v>
      </c>
      <c r="J24" s="267"/>
    </row>
    <row r="25" spans="1:22" x14ac:dyDescent="0.3">
      <c r="A25" s="261" t="s">
        <v>239</v>
      </c>
      <c r="C25" s="99" t="s">
        <v>94</v>
      </c>
      <c r="D25" s="100">
        <v>2.2999999999999998</v>
      </c>
      <c r="E25" s="118">
        <v>4.5999999999999996</v>
      </c>
      <c r="F25" s="118">
        <v>6.9</v>
      </c>
      <c r="G25" s="68" t="s">
        <v>173</v>
      </c>
      <c r="J25" s="267"/>
      <c r="U25" s="263">
        <f>-D25</f>
        <v>-2.2999999999999998</v>
      </c>
    </row>
    <row r="26" spans="1:22" x14ac:dyDescent="0.3">
      <c r="A26" s="261" t="s">
        <v>241</v>
      </c>
      <c r="C26" s="99" t="s">
        <v>95</v>
      </c>
      <c r="D26" s="100">
        <v>1.1000000000000001</v>
      </c>
      <c r="E26" s="118">
        <v>2.1</v>
      </c>
      <c r="F26" s="118">
        <v>3.2</v>
      </c>
      <c r="G26" s="68" t="s">
        <v>169</v>
      </c>
      <c r="J26" s="267"/>
      <c r="U26" s="263">
        <f>-D26</f>
        <v>-1.1000000000000001</v>
      </c>
    </row>
    <row r="27" spans="1:22" x14ac:dyDescent="0.3">
      <c r="A27" s="261" t="s">
        <v>241</v>
      </c>
      <c r="C27" s="99" t="s">
        <v>247</v>
      </c>
      <c r="D27" s="100">
        <f>D23-SUM(D24:D26)</f>
        <v>1.2000000000000011</v>
      </c>
      <c r="E27" s="118">
        <f t="shared" ref="E27:F27" si="4">E23-SUM(E24:E26)</f>
        <v>0.10000000000000053</v>
      </c>
      <c r="F27" s="118">
        <f t="shared" si="4"/>
        <v>1.3000000000000007</v>
      </c>
      <c r="G27" s="68"/>
      <c r="J27" s="267"/>
      <c r="U27" s="263">
        <f>-D27</f>
        <v>-1.2000000000000011</v>
      </c>
    </row>
    <row r="28" spans="1:22" x14ac:dyDescent="0.3">
      <c r="C28" s="169" t="s">
        <v>48</v>
      </c>
      <c r="D28" s="167">
        <v>8</v>
      </c>
      <c r="E28" s="173">
        <v>4.5999999999999996</v>
      </c>
      <c r="F28" s="173">
        <v>12.6</v>
      </c>
      <c r="G28" s="68"/>
      <c r="J28" s="267"/>
    </row>
    <row r="29" spans="1:22" x14ac:dyDescent="0.3">
      <c r="A29" s="261" t="s">
        <v>251</v>
      </c>
      <c r="C29" s="99" t="s">
        <v>96</v>
      </c>
      <c r="D29" s="105">
        <v>2.5</v>
      </c>
      <c r="E29" s="118"/>
      <c r="F29" s="118">
        <v>2.5</v>
      </c>
      <c r="G29" s="68" t="s">
        <v>175</v>
      </c>
      <c r="J29" s="267"/>
    </row>
    <row r="30" spans="1:22" x14ac:dyDescent="0.3">
      <c r="A30" s="261" t="s">
        <v>243</v>
      </c>
      <c r="C30" s="99" t="s">
        <v>97</v>
      </c>
      <c r="D30" s="105">
        <v>1</v>
      </c>
      <c r="E30" s="172">
        <v>2</v>
      </c>
      <c r="F30" s="172">
        <v>3</v>
      </c>
      <c r="G30" s="68" t="s">
        <v>169</v>
      </c>
      <c r="J30" s="267"/>
    </row>
    <row r="31" spans="1:22" x14ac:dyDescent="0.3">
      <c r="A31" s="261" t="s">
        <v>248</v>
      </c>
      <c r="C31" s="99" t="s">
        <v>98</v>
      </c>
      <c r="D31" s="105">
        <v>0.9</v>
      </c>
      <c r="E31" s="118"/>
      <c r="F31" s="118">
        <v>0.9</v>
      </c>
      <c r="G31" s="68"/>
      <c r="J31" s="267"/>
    </row>
    <row r="32" spans="1:22" x14ac:dyDescent="0.3">
      <c r="A32" s="261" t="s">
        <v>239</v>
      </c>
      <c r="C32" s="99" t="s">
        <v>99</v>
      </c>
      <c r="D32" s="105">
        <v>0.8</v>
      </c>
      <c r="E32" s="118">
        <v>1.5</v>
      </c>
      <c r="F32" s="118">
        <v>2.2999999999999998</v>
      </c>
      <c r="G32" s="68" t="s">
        <v>173</v>
      </c>
      <c r="J32" s="267"/>
      <c r="S32" s="266">
        <f>-D32</f>
        <v>-0.8</v>
      </c>
    </row>
    <row r="33" spans="1:21" x14ac:dyDescent="0.3">
      <c r="A33" s="261" t="s">
        <v>241</v>
      </c>
      <c r="C33" s="99" t="s">
        <v>95</v>
      </c>
      <c r="D33" s="105">
        <v>0.5</v>
      </c>
      <c r="E33" s="118">
        <v>1.1000000000000001</v>
      </c>
      <c r="F33" s="118">
        <v>1.6</v>
      </c>
      <c r="G33" s="68" t="s">
        <v>169</v>
      </c>
      <c r="J33" s="267"/>
      <c r="U33" s="263">
        <f>-D33</f>
        <v>-0.5</v>
      </c>
    </row>
    <row r="34" spans="1:21" x14ac:dyDescent="0.3">
      <c r="A34" s="261" t="s">
        <v>248</v>
      </c>
      <c r="C34" s="99" t="s">
        <v>100</v>
      </c>
      <c r="D34" s="105">
        <v>0.5</v>
      </c>
      <c r="E34" s="118"/>
      <c r="F34" s="118">
        <v>0.5</v>
      </c>
      <c r="G34" s="68"/>
      <c r="J34" s="267"/>
    </row>
    <row r="35" spans="1:21" x14ac:dyDescent="0.3">
      <c r="A35" s="261" t="s">
        <v>248</v>
      </c>
      <c r="C35" s="99" t="s">
        <v>101</v>
      </c>
      <c r="D35" s="105">
        <v>0.4</v>
      </c>
      <c r="E35" s="118"/>
      <c r="F35" s="118">
        <v>0.4</v>
      </c>
      <c r="G35" s="68"/>
      <c r="J35" s="267"/>
    </row>
    <row r="36" spans="1:21" x14ac:dyDescent="0.3">
      <c r="A36" s="261" t="s">
        <v>248</v>
      </c>
      <c r="C36" s="99" t="s">
        <v>247</v>
      </c>
      <c r="D36" s="105">
        <f>D28-SUM(D29:D35)</f>
        <v>1.3999999999999995</v>
      </c>
      <c r="E36" s="118">
        <f t="shared" ref="E36:F36" si="5">E28-SUM(E29:E35)</f>
        <v>0</v>
      </c>
      <c r="F36" s="118">
        <f t="shared" si="5"/>
        <v>1.4000000000000004</v>
      </c>
      <c r="G36" s="68"/>
      <c r="J36" s="267"/>
    </row>
    <row r="37" spans="1:21" x14ac:dyDescent="0.3">
      <c r="A37" s="261" t="s">
        <v>244</v>
      </c>
      <c r="C37" s="169" t="s">
        <v>49</v>
      </c>
      <c r="D37" s="170">
        <v>3.8</v>
      </c>
      <c r="E37" s="173"/>
      <c r="F37" s="173">
        <v>3.8</v>
      </c>
      <c r="G37" s="68" t="s">
        <v>176</v>
      </c>
      <c r="J37" s="267"/>
    </row>
    <row r="38" spans="1:21" x14ac:dyDescent="0.3">
      <c r="A38" s="261" t="s">
        <v>245</v>
      </c>
      <c r="C38" s="169" t="s">
        <v>50</v>
      </c>
      <c r="D38" s="170">
        <v>0.9</v>
      </c>
      <c r="E38" s="258">
        <f>D38*7/3</f>
        <v>2.1</v>
      </c>
      <c r="F38" s="173">
        <v>3</v>
      </c>
      <c r="G38" s="68" t="s">
        <v>178</v>
      </c>
      <c r="I38" s="198" t="s">
        <v>203</v>
      </c>
      <c r="J38" s="267">
        <v>61400</v>
      </c>
      <c r="S38" s="263">
        <f>-D38</f>
        <v>-0.9</v>
      </c>
    </row>
    <row r="39" spans="1:21" x14ac:dyDescent="0.3">
      <c r="C39" s="166" t="s">
        <v>191</v>
      </c>
      <c r="D39" s="170">
        <v>33.299999999999997</v>
      </c>
      <c r="E39" s="173">
        <v>20.100000000000001</v>
      </c>
      <c r="F39" s="173">
        <v>53.4</v>
      </c>
      <c r="G39" s="72" t="s">
        <v>40</v>
      </c>
      <c r="J39" s="267"/>
    </row>
    <row r="40" spans="1:21" x14ac:dyDescent="0.3">
      <c r="C40" s="99" t="s">
        <v>51</v>
      </c>
      <c r="D40" s="100">
        <v>11.6</v>
      </c>
      <c r="E40" s="118"/>
      <c r="F40" s="118">
        <v>11.6</v>
      </c>
      <c r="G40" s="68" t="s">
        <v>177</v>
      </c>
      <c r="J40" s="267"/>
      <c r="R40" s="263">
        <f t="shared" ref="R40" si="6">-D40</f>
        <v>-11.6</v>
      </c>
    </row>
    <row r="41" spans="1:21" x14ac:dyDescent="0.3">
      <c r="C41" s="99" t="s">
        <v>47</v>
      </c>
      <c r="D41" s="100">
        <v>9.6999999999999993</v>
      </c>
      <c r="E41" s="118">
        <v>2.6</v>
      </c>
      <c r="F41" s="118">
        <v>12.3</v>
      </c>
      <c r="G41" s="68" t="s">
        <v>24</v>
      </c>
      <c r="J41" s="267"/>
      <c r="U41" s="263">
        <f>-D41</f>
        <v>-9.6999999999999993</v>
      </c>
    </row>
    <row r="42" spans="1:21" x14ac:dyDescent="0.3">
      <c r="C42" s="99" t="s">
        <v>49</v>
      </c>
      <c r="D42" s="100">
        <v>6.1</v>
      </c>
      <c r="E42" s="118">
        <v>3.5</v>
      </c>
      <c r="F42" s="118">
        <v>9.6</v>
      </c>
      <c r="G42" s="68" t="s">
        <v>23</v>
      </c>
      <c r="J42" s="267"/>
    </row>
    <row r="43" spans="1:21" ht="13.5" thickBot="1" x14ac:dyDescent="0.35">
      <c r="C43" s="120" t="s">
        <v>52</v>
      </c>
      <c r="D43" s="121">
        <v>6</v>
      </c>
      <c r="E43" s="259">
        <f>D43*7/3</f>
        <v>14</v>
      </c>
      <c r="F43" s="174">
        <v>20</v>
      </c>
      <c r="G43" s="76" t="s">
        <v>25</v>
      </c>
      <c r="I43" s="268" t="s">
        <v>407</v>
      </c>
      <c r="J43" s="267">
        <v>428500</v>
      </c>
      <c r="S43" s="263">
        <f>-D43</f>
        <v>-6</v>
      </c>
    </row>
  </sheetData>
  <pageMargins left="0.7" right="0.7" top="0.75" bottom="0.75" header="0.3" footer="0.3"/>
  <pageSetup paperSize="9" scale="43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0A0507-D972-400E-AA4A-5C149CCCA981}">
  <dimension ref="B1:M80"/>
  <sheetViews>
    <sheetView workbookViewId="0">
      <selection activeCell="G3" sqref="G3"/>
    </sheetView>
  </sheetViews>
  <sheetFormatPr baseColWidth="10" defaultRowHeight="13" x14ac:dyDescent="0.3"/>
  <cols>
    <col min="1" max="1" width="2" style="1" customWidth="1"/>
    <col min="2" max="2" width="32.90625" style="1" bestFit="1" customWidth="1"/>
    <col min="3" max="3" width="9.08984375" style="79" customWidth="1"/>
    <col min="4" max="4" width="1.08984375" style="1" customWidth="1"/>
    <col min="5" max="5" width="11" style="176" bestFit="1" customWidth="1"/>
    <col min="6" max="6" width="9.81640625" style="177" customWidth="1"/>
    <col min="7" max="7" width="10.81640625" style="176" customWidth="1"/>
    <col min="8" max="8" width="12.54296875" style="2" bestFit="1" customWidth="1"/>
    <col min="9" max="9" width="9.54296875" style="79" customWidth="1"/>
    <col min="10" max="10" width="11" style="79" bestFit="1" customWidth="1"/>
    <col min="11" max="11" width="11.08984375" style="1" bestFit="1" customWidth="1"/>
    <col min="12" max="12" width="9.36328125" style="1" customWidth="1"/>
    <col min="13" max="14" width="10.90625" style="1"/>
    <col min="15" max="15" width="11.1796875" style="1" bestFit="1" customWidth="1"/>
    <col min="16" max="16384" width="10.90625" style="1"/>
  </cols>
  <sheetData>
    <row r="1" spans="2:11" ht="13.5" thickBot="1" x14ac:dyDescent="0.35">
      <c r="G1" s="1"/>
      <c r="H1" s="1"/>
      <c r="I1" s="1"/>
      <c r="J1" s="1"/>
    </row>
    <row r="2" spans="2:11" x14ac:dyDescent="0.3">
      <c r="B2" s="80" t="s">
        <v>420</v>
      </c>
      <c r="C2" s="209" t="s">
        <v>235</v>
      </c>
      <c r="D2" s="211"/>
      <c r="E2" s="210" t="s">
        <v>233</v>
      </c>
      <c r="F2" s="286" t="s">
        <v>234</v>
      </c>
      <c r="G2" s="1"/>
      <c r="H2" s="1"/>
      <c r="I2" s="1"/>
      <c r="J2" s="1"/>
    </row>
    <row r="3" spans="2:11" x14ac:dyDescent="0.3">
      <c r="B3" s="11">
        <v>2024</v>
      </c>
      <c r="C3" s="79">
        <v>2919.9</v>
      </c>
      <c r="E3" s="330">
        <f>F3/C3</f>
        <v>0.4287133120997294</v>
      </c>
      <c r="F3" s="291">
        <v>1251.8</v>
      </c>
      <c r="G3" s="1"/>
      <c r="H3" s="1"/>
      <c r="I3" s="1"/>
      <c r="J3" s="1"/>
    </row>
    <row r="4" spans="2:11" x14ac:dyDescent="0.3">
      <c r="B4" s="213" t="s">
        <v>236</v>
      </c>
      <c r="E4" s="330">
        <f>F4/C3</f>
        <v>0.36328448234528582</v>
      </c>
      <c r="F4" s="291">
        <f>F3-Flux!C22-Flux!C15-C66-C69</f>
        <v>1060.7543600000001</v>
      </c>
      <c r="G4" s="1"/>
      <c r="H4" s="1"/>
      <c r="I4" s="1"/>
      <c r="J4" s="1"/>
    </row>
    <row r="5" spans="2:11" x14ac:dyDescent="0.3">
      <c r="B5" s="11"/>
      <c r="F5" s="287"/>
      <c r="G5" s="1"/>
      <c r="H5" s="1"/>
      <c r="I5" s="1"/>
      <c r="J5" s="1"/>
    </row>
    <row r="6" spans="2:11" ht="13.5" thickBot="1" x14ac:dyDescent="0.35">
      <c r="B6" s="216"/>
      <c r="C6" s="288"/>
      <c r="D6" s="215"/>
      <c r="E6" s="289" t="s">
        <v>136</v>
      </c>
      <c r="F6" s="290"/>
      <c r="G6" s="1"/>
      <c r="H6" s="1"/>
      <c r="I6" s="1"/>
      <c r="J6" s="1"/>
    </row>
    <row r="8" spans="2:11" ht="14.5" x14ac:dyDescent="0.35">
      <c r="B8" s="270" t="s">
        <v>421</v>
      </c>
    </row>
    <row r="9" spans="2:11" x14ac:dyDescent="0.3">
      <c r="B9" s="2" t="s">
        <v>422</v>
      </c>
      <c r="F9" s="292" t="s">
        <v>425</v>
      </c>
      <c r="G9" s="293" t="s">
        <v>426</v>
      </c>
      <c r="H9" s="294" t="s">
        <v>427</v>
      </c>
      <c r="I9" s="293"/>
      <c r="J9" s="293"/>
      <c r="K9" s="294" t="s">
        <v>428</v>
      </c>
    </row>
    <row r="10" spans="2:11" x14ac:dyDescent="0.3">
      <c r="B10" s="1" t="s">
        <v>423</v>
      </c>
      <c r="C10" s="37" t="s">
        <v>181</v>
      </c>
      <c r="E10" s="79" t="s">
        <v>129</v>
      </c>
      <c r="F10" s="177" t="s">
        <v>415</v>
      </c>
      <c r="G10" s="79" t="s">
        <v>419</v>
      </c>
      <c r="H10" s="176" t="s">
        <v>139</v>
      </c>
      <c r="I10" s="79" t="s">
        <v>417</v>
      </c>
      <c r="J10" s="79" t="s">
        <v>132</v>
      </c>
      <c r="K10" s="37" t="s">
        <v>134</v>
      </c>
    </row>
    <row r="11" spans="2:11" x14ac:dyDescent="0.3">
      <c r="B11" s="50" t="s">
        <v>5</v>
      </c>
      <c r="C11" s="41" t="s">
        <v>182</v>
      </c>
      <c r="E11" s="79" t="s">
        <v>418</v>
      </c>
      <c r="F11" s="177" t="s">
        <v>416</v>
      </c>
      <c r="G11" s="79" t="s">
        <v>138</v>
      </c>
      <c r="H11" s="176" t="s">
        <v>138</v>
      </c>
      <c r="I11" s="79" t="s">
        <v>135</v>
      </c>
      <c r="J11" s="79" t="s">
        <v>133</v>
      </c>
      <c r="K11" s="41" t="s">
        <v>424</v>
      </c>
    </row>
    <row r="12" spans="2:11" x14ac:dyDescent="0.3">
      <c r="C12" s="40"/>
      <c r="E12" s="79"/>
      <c r="F12" s="177" t="s">
        <v>130</v>
      </c>
      <c r="G12" s="79"/>
      <c r="K12" s="41"/>
    </row>
    <row r="13" spans="2:11" x14ac:dyDescent="0.3">
      <c r="B13" s="176" t="s">
        <v>131</v>
      </c>
      <c r="C13" s="179">
        <f>C15+C16+C29+C32+C34+C35+SUM(C37:C40)</f>
        <v>624.9</v>
      </c>
      <c r="E13" s="79">
        <f t="shared" ref="E13:H13" si="0">E15+E16+E29+E32+E34+E35+SUM(E37:E40)</f>
        <v>72.399999999999991</v>
      </c>
      <c r="F13" s="177">
        <f t="shared" si="0"/>
        <v>29.2</v>
      </c>
      <c r="G13" s="79">
        <f t="shared" si="0"/>
        <v>40.099999999999994</v>
      </c>
      <c r="H13" s="180">
        <f t="shared" si="0"/>
        <v>-137.05000000000001</v>
      </c>
      <c r="I13" s="181">
        <f>I15+I32+I34+I37</f>
        <v>97</v>
      </c>
      <c r="J13" s="206">
        <f>F13+G13+H13</f>
        <v>-67.750000000000014</v>
      </c>
      <c r="K13" s="227">
        <f>K15+K34+K37+K40</f>
        <v>67.750000000000014</v>
      </c>
    </row>
    <row r="14" spans="2:11" x14ac:dyDescent="0.3">
      <c r="C14" s="40"/>
      <c r="E14" s="79"/>
      <c r="G14" s="79"/>
      <c r="K14" s="226"/>
    </row>
    <row r="15" spans="2:11" x14ac:dyDescent="0.3">
      <c r="B15" s="182" t="s">
        <v>105</v>
      </c>
      <c r="C15" s="183">
        <v>206.3</v>
      </c>
      <c r="E15" s="205">
        <v>19.899999999999999</v>
      </c>
      <c r="F15" s="184">
        <v>9.9</v>
      </c>
      <c r="G15" s="205">
        <v>33</v>
      </c>
      <c r="H15" s="182"/>
      <c r="I15" s="185">
        <f>E15+G15</f>
        <v>52.9</v>
      </c>
      <c r="J15" s="205"/>
      <c r="K15" s="186"/>
    </row>
    <row r="16" spans="2:11" x14ac:dyDescent="0.3">
      <c r="B16" s="2" t="s">
        <v>115</v>
      </c>
      <c r="C16" s="41">
        <v>105.1</v>
      </c>
      <c r="E16" s="79">
        <f>SUM(E17:E27)</f>
        <v>7.7</v>
      </c>
      <c r="F16" s="177">
        <f t="shared" ref="F16:H16" si="1">SUM(F17:F27)</f>
        <v>3.9000000000000004</v>
      </c>
      <c r="G16" s="79">
        <f t="shared" si="1"/>
        <v>1.8</v>
      </c>
      <c r="H16" s="180">
        <f t="shared" si="1"/>
        <v>-26.1</v>
      </c>
      <c r="K16" s="178"/>
    </row>
    <row r="17" spans="2:11" x14ac:dyDescent="0.3">
      <c r="B17" s="187" t="s">
        <v>117</v>
      </c>
      <c r="C17" s="188">
        <v>43.7</v>
      </c>
      <c r="E17" s="189">
        <v>4.4000000000000004</v>
      </c>
      <c r="F17" s="190">
        <v>2.2000000000000002</v>
      </c>
      <c r="G17" s="189">
        <v>1.8</v>
      </c>
      <c r="H17" s="189">
        <v>-8</v>
      </c>
      <c r="I17" s="189"/>
      <c r="J17" s="189"/>
      <c r="K17" s="193"/>
    </row>
    <row r="18" spans="2:11" x14ac:dyDescent="0.3">
      <c r="B18" s="187" t="s">
        <v>119</v>
      </c>
      <c r="C18" s="188">
        <v>25.6</v>
      </c>
      <c r="E18" s="189"/>
      <c r="F18" s="190"/>
      <c r="G18" s="189"/>
      <c r="H18" s="189">
        <v>-0.3</v>
      </c>
      <c r="I18" s="189"/>
      <c r="J18" s="189"/>
      <c r="K18" s="193"/>
    </row>
    <row r="19" spans="2:11" x14ac:dyDescent="0.3">
      <c r="B19" s="187" t="s">
        <v>118</v>
      </c>
      <c r="C19" s="188">
        <v>19.2</v>
      </c>
      <c r="E19" s="189"/>
      <c r="F19" s="190"/>
      <c r="G19" s="189"/>
      <c r="H19" s="192"/>
      <c r="I19" s="189"/>
      <c r="J19" s="189"/>
      <c r="K19" s="193"/>
    </row>
    <row r="20" spans="2:11" x14ac:dyDescent="0.3">
      <c r="B20" s="187" t="s">
        <v>124</v>
      </c>
      <c r="C20" s="188">
        <v>2.2000000000000002</v>
      </c>
      <c r="E20" s="189"/>
      <c r="F20" s="190"/>
      <c r="G20" s="189"/>
      <c r="H20" s="189">
        <f>-C20</f>
        <v>-2.2000000000000002</v>
      </c>
      <c r="I20" s="189"/>
      <c r="J20" s="189"/>
      <c r="K20" s="193"/>
    </row>
    <row r="21" spans="2:11" x14ac:dyDescent="0.3">
      <c r="B21" s="187" t="s">
        <v>125</v>
      </c>
      <c r="C21" s="188">
        <v>1.9</v>
      </c>
      <c r="E21" s="189"/>
      <c r="F21" s="190"/>
      <c r="G21" s="189"/>
      <c r="H21" s="189">
        <f>-C21</f>
        <v>-1.9</v>
      </c>
      <c r="I21" s="189"/>
      <c r="J21" s="189"/>
      <c r="K21" s="193"/>
    </row>
    <row r="22" spans="2:11" x14ac:dyDescent="0.3">
      <c r="B22" s="187" t="s">
        <v>127</v>
      </c>
      <c r="C22" s="188">
        <v>3.1</v>
      </c>
      <c r="E22" s="189">
        <v>3.3</v>
      </c>
      <c r="F22" s="190">
        <v>1.7</v>
      </c>
      <c r="G22" s="189"/>
      <c r="H22" s="189">
        <v>-6.4</v>
      </c>
      <c r="I22" s="189"/>
      <c r="J22" s="189"/>
      <c r="K22" s="193"/>
    </row>
    <row r="23" spans="2:11" x14ac:dyDescent="0.3">
      <c r="B23" s="187" t="s">
        <v>126</v>
      </c>
      <c r="C23" s="188">
        <v>1.8</v>
      </c>
      <c r="E23" s="189"/>
      <c r="F23" s="190"/>
      <c r="G23" s="189"/>
      <c r="H23" s="189">
        <f t="shared" ref="H23:H24" si="2">-C23</f>
        <v>-1.8</v>
      </c>
      <c r="I23" s="189"/>
      <c r="J23" s="189"/>
      <c r="K23" s="193"/>
    </row>
    <row r="24" spans="2:11" x14ac:dyDescent="0.3">
      <c r="B24" s="187" t="s">
        <v>128</v>
      </c>
      <c r="C24" s="188">
        <v>4.5</v>
      </c>
      <c r="E24" s="189"/>
      <c r="F24" s="190"/>
      <c r="G24" s="189"/>
      <c r="H24" s="189">
        <f t="shared" si="2"/>
        <v>-4.5</v>
      </c>
      <c r="I24" s="189"/>
      <c r="J24" s="189"/>
      <c r="K24" s="193"/>
    </row>
    <row r="25" spans="2:11" x14ac:dyDescent="0.3">
      <c r="B25" s="187" t="s">
        <v>110</v>
      </c>
      <c r="C25" s="188">
        <v>1.1000000000000001</v>
      </c>
      <c r="E25" s="189"/>
      <c r="F25" s="190"/>
      <c r="G25" s="189"/>
      <c r="H25" s="192"/>
      <c r="I25" s="189"/>
      <c r="J25" s="189"/>
      <c r="K25" s="193"/>
    </row>
    <row r="26" spans="2:11" x14ac:dyDescent="0.3">
      <c r="B26" s="187" t="s">
        <v>111</v>
      </c>
      <c r="C26" s="194">
        <v>1</v>
      </c>
      <c r="E26" s="189"/>
      <c r="F26" s="190"/>
      <c r="G26" s="189"/>
      <c r="H26" s="189">
        <v>-1</v>
      </c>
      <c r="I26" s="189"/>
      <c r="J26" s="189"/>
      <c r="K26" s="193"/>
    </row>
    <row r="27" spans="2:11" x14ac:dyDescent="0.3">
      <c r="B27" s="187" t="s">
        <v>112</v>
      </c>
      <c r="C27" s="188">
        <v>1.6</v>
      </c>
      <c r="E27" s="189"/>
      <c r="F27" s="190"/>
      <c r="G27" s="189"/>
      <c r="H27" s="192"/>
      <c r="I27" s="189"/>
      <c r="J27" s="189"/>
      <c r="K27" s="193"/>
    </row>
    <row r="28" spans="2:11" x14ac:dyDescent="0.3">
      <c r="C28" s="40"/>
      <c r="E28" s="79"/>
      <c r="G28" s="79"/>
      <c r="K28" s="178"/>
    </row>
    <row r="29" spans="2:11" x14ac:dyDescent="0.3">
      <c r="B29" s="195" t="s">
        <v>113</v>
      </c>
      <c r="C29" s="179">
        <v>58</v>
      </c>
      <c r="E29" s="79"/>
      <c r="G29" s="79"/>
      <c r="H29" s="176">
        <v>-48</v>
      </c>
      <c r="K29" s="178"/>
    </row>
    <row r="30" spans="2:11" x14ac:dyDescent="0.3">
      <c r="B30" s="187" t="s">
        <v>114</v>
      </c>
      <c r="C30" s="196">
        <v>8.8000000000000007</v>
      </c>
      <c r="E30" s="189"/>
      <c r="F30" s="190"/>
      <c r="G30" s="189"/>
      <c r="H30" s="197"/>
      <c r="I30" s="189"/>
      <c r="J30" s="189"/>
      <c r="K30" s="193"/>
    </row>
    <row r="31" spans="2:11" x14ac:dyDescent="0.3">
      <c r="B31" s="198"/>
      <c r="C31" s="199"/>
      <c r="E31" s="79"/>
      <c r="G31" s="79"/>
      <c r="K31" s="178"/>
    </row>
    <row r="32" spans="2:11" x14ac:dyDescent="0.3">
      <c r="B32" s="182" t="s">
        <v>106</v>
      </c>
      <c r="C32" s="183">
        <v>87.3</v>
      </c>
      <c r="E32" s="285">
        <v>27</v>
      </c>
      <c r="F32" s="184">
        <v>7.2</v>
      </c>
      <c r="G32" s="205"/>
      <c r="H32" s="182"/>
      <c r="I32" s="185">
        <f>E32+G32</f>
        <v>27</v>
      </c>
      <c r="J32" s="205"/>
      <c r="K32" s="186"/>
    </row>
    <row r="33" spans="2:11" x14ac:dyDescent="0.3">
      <c r="C33" s="40"/>
      <c r="E33" s="206"/>
      <c r="G33" s="79"/>
      <c r="K33" s="178"/>
    </row>
    <row r="34" spans="2:11" x14ac:dyDescent="0.3">
      <c r="B34" s="182" t="s">
        <v>107</v>
      </c>
      <c r="C34" s="183">
        <v>57.4</v>
      </c>
      <c r="E34" s="285">
        <v>16</v>
      </c>
      <c r="F34" s="201">
        <v>7.8</v>
      </c>
      <c r="G34" s="205"/>
      <c r="H34" s="182"/>
      <c r="I34" s="185">
        <f>E34+G34</f>
        <v>16</v>
      </c>
      <c r="J34" s="205"/>
      <c r="K34" s="202">
        <f>7/20*(SUM(C34:E34,G34))</f>
        <v>25.69</v>
      </c>
    </row>
    <row r="35" spans="2:11" x14ac:dyDescent="0.3">
      <c r="B35" s="2" t="s">
        <v>140</v>
      </c>
      <c r="C35" s="41">
        <v>10.3</v>
      </c>
      <c r="E35" s="79"/>
      <c r="G35" s="79"/>
      <c r="H35" s="176">
        <f>-C35</f>
        <v>-10.3</v>
      </c>
      <c r="K35" s="203" t="s">
        <v>393</v>
      </c>
    </row>
    <row r="36" spans="2:11" x14ac:dyDescent="0.3">
      <c r="C36" s="40"/>
      <c r="E36" s="79"/>
      <c r="G36" s="79"/>
      <c r="K36" s="178"/>
    </row>
    <row r="37" spans="2:11" x14ac:dyDescent="0.3">
      <c r="B37" s="182" t="s">
        <v>108</v>
      </c>
      <c r="C37" s="183">
        <v>42.9</v>
      </c>
      <c r="E37" s="205">
        <v>0.8</v>
      </c>
      <c r="F37" s="184"/>
      <c r="G37" s="205">
        <v>0.3</v>
      </c>
      <c r="H37" s="204"/>
      <c r="I37" s="185">
        <f>E37+G37</f>
        <v>1.1000000000000001</v>
      </c>
      <c r="J37" s="205"/>
      <c r="K37" s="202">
        <f>(-J13-K15-K34-K40)</f>
        <v>42.060000000000016</v>
      </c>
    </row>
    <row r="38" spans="2:11" x14ac:dyDescent="0.3">
      <c r="B38" s="2" t="s">
        <v>120</v>
      </c>
      <c r="C38" s="41">
        <v>6.5</v>
      </c>
      <c r="E38" s="79">
        <v>0.2</v>
      </c>
      <c r="F38" s="177">
        <v>0.1</v>
      </c>
      <c r="H38" s="200">
        <f t="shared" ref="H38:H39" si="3">-C38-E38-G38</f>
        <v>-6.7</v>
      </c>
      <c r="I38" s="206"/>
      <c r="K38" s="237"/>
    </row>
    <row r="39" spans="2:11" x14ac:dyDescent="0.3">
      <c r="B39" s="2" t="s">
        <v>121</v>
      </c>
      <c r="C39" s="41">
        <v>13.2</v>
      </c>
      <c r="E39" s="79">
        <v>0.3</v>
      </c>
      <c r="F39" s="177">
        <v>0.2</v>
      </c>
      <c r="H39" s="200">
        <f t="shared" si="3"/>
        <v>-13.5</v>
      </c>
      <c r="I39" s="206"/>
      <c r="K39" s="178"/>
    </row>
    <row r="40" spans="2:11" x14ac:dyDescent="0.3">
      <c r="B40" s="2" t="s">
        <v>109</v>
      </c>
      <c r="C40" s="41">
        <v>37.9</v>
      </c>
      <c r="E40" s="79">
        <v>0.5</v>
      </c>
      <c r="F40" s="177">
        <v>0.1</v>
      </c>
      <c r="G40" s="206">
        <v>5</v>
      </c>
      <c r="H40" s="200">
        <f>H41+H42</f>
        <v>-32.450000000000003</v>
      </c>
      <c r="I40" s="206"/>
      <c r="K40" s="178"/>
    </row>
    <row r="41" spans="2:11" x14ac:dyDescent="0.3">
      <c r="B41" s="187" t="s">
        <v>122</v>
      </c>
      <c r="C41" s="188">
        <v>17.100000000000001</v>
      </c>
      <c r="E41" s="189"/>
      <c r="F41" s="190"/>
      <c r="G41" s="191"/>
      <c r="H41" s="196">
        <f>-C41+(C41/2-3.5)</f>
        <v>-12.05</v>
      </c>
      <c r="I41" s="189"/>
      <c r="J41" s="189"/>
      <c r="K41" s="196"/>
    </row>
    <row r="42" spans="2:11" x14ac:dyDescent="0.3">
      <c r="B42" s="187" t="s">
        <v>123</v>
      </c>
      <c r="C42" s="208">
        <v>20.8</v>
      </c>
      <c r="E42" s="189">
        <v>0.5</v>
      </c>
      <c r="F42" s="190">
        <v>0.1</v>
      </c>
      <c r="G42" s="189">
        <v>5</v>
      </c>
      <c r="H42" s="188">
        <f>-C42-E42-F42-G42+(0.03*300-3)</f>
        <v>-20.400000000000002</v>
      </c>
      <c r="I42" s="189"/>
      <c r="J42" s="189"/>
      <c r="K42" s="188"/>
    </row>
    <row r="43" spans="2:11" x14ac:dyDescent="0.3">
      <c r="H43" s="238" t="s">
        <v>301</v>
      </c>
      <c r="K43" s="238"/>
    </row>
    <row r="44" spans="2:11" x14ac:dyDescent="0.3">
      <c r="B44" s="50" t="s">
        <v>116</v>
      </c>
    </row>
    <row r="47" spans="2:11" x14ac:dyDescent="0.3">
      <c r="B47" s="2" t="s">
        <v>469</v>
      </c>
    </row>
    <row r="48" spans="2:11" ht="13.5" thickBot="1" x14ac:dyDescent="0.35">
      <c r="C48" s="1"/>
    </row>
    <row r="49" spans="2:13" x14ac:dyDescent="0.3">
      <c r="B49" s="80" t="s">
        <v>449</v>
      </c>
      <c r="C49" s="211">
        <v>63.4</v>
      </c>
      <c r="D49" s="296" t="s">
        <v>102</v>
      </c>
      <c r="E49" s="50"/>
      <c r="F49" s="327" t="s">
        <v>472</v>
      </c>
      <c r="G49" s="209"/>
      <c r="H49" s="297"/>
      <c r="I49" s="1"/>
      <c r="J49" s="327" t="s">
        <v>483</v>
      </c>
      <c r="K49" s="325"/>
      <c r="L49" s="297"/>
    </row>
    <row r="50" spans="2:13" x14ac:dyDescent="0.3">
      <c r="B50" s="213" t="s">
        <v>442</v>
      </c>
      <c r="C50" s="1">
        <v>50.4</v>
      </c>
      <c r="D50" s="12"/>
      <c r="E50" s="1"/>
      <c r="F50" s="11"/>
      <c r="G50" s="326">
        <v>550</v>
      </c>
      <c r="H50" s="298" t="s">
        <v>473</v>
      </c>
      <c r="I50" s="1"/>
      <c r="J50" s="11"/>
      <c r="K50" s="328">
        <f>(G58-C60+C75)/(C75/C76+'CSG-CRDS'!I3)</f>
        <v>0.22736995426927581</v>
      </c>
      <c r="L50" s="12"/>
      <c r="M50" s="175"/>
    </row>
    <row r="51" spans="2:13" x14ac:dyDescent="0.3">
      <c r="B51" s="213" t="s">
        <v>446</v>
      </c>
      <c r="C51" s="214">
        <v>13.04</v>
      </c>
      <c r="D51" s="12"/>
      <c r="E51" s="1"/>
      <c r="F51" s="11"/>
      <c r="G51" s="1"/>
      <c r="H51" s="12"/>
      <c r="I51" s="1"/>
      <c r="J51" s="11"/>
      <c r="L51" s="12"/>
    </row>
    <row r="52" spans="2:13" x14ac:dyDescent="0.3">
      <c r="B52" s="11"/>
      <c r="C52" s="1"/>
      <c r="D52" s="12"/>
      <c r="E52" s="1"/>
      <c r="F52" s="306" t="s">
        <v>474</v>
      </c>
      <c r="G52" s="1"/>
      <c r="H52" s="12"/>
      <c r="I52" s="1"/>
      <c r="J52" s="306" t="s">
        <v>481</v>
      </c>
      <c r="L52" s="12"/>
    </row>
    <row r="53" spans="2:13" ht="13.5" thickBot="1" x14ac:dyDescent="0.35">
      <c r="B53" s="11" t="s">
        <v>471</v>
      </c>
      <c r="C53" s="1">
        <v>68.599999999999994</v>
      </c>
      <c r="D53" s="298" t="s">
        <v>102</v>
      </c>
      <c r="E53" s="1"/>
      <c r="F53" s="213" t="s">
        <v>475</v>
      </c>
      <c r="G53" s="1">
        <v>1</v>
      </c>
      <c r="H53" s="12"/>
      <c r="I53" s="1"/>
      <c r="J53" s="303">
        <f>G50*12/0.23</f>
        <v>28695.652173913044</v>
      </c>
      <c r="K53" s="215" t="s">
        <v>484</v>
      </c>
      <c r="L53" s="301"/>
    </row>
    <row r="54" spans="2:13" x14ac:dyDescent="0.3">
      <c r="B54" s="213" t="s">
        <v>442</v>
      </c>
      <c r="C54" s="1">
        <v>54.5</v>
      </c>
      <c r="D54" s="12"/>
      <c r="E54" s="1"/>
      <c r="F54" s="213" t="s">
        <v>465</v>
      </c>
      <c r="G54" s="1">
        <v>0.5</v>
      </c>
      <c r="H54" s="12"/>
      <c r="I54" s="1"/>
      <c r="J54" s="329"/>
    </row>
    <row r="55" spans="2:13" ht="13.5" thickBot="1" x14ac:dyDescent="0.35">
      <c r="B55" s="213" t="s">
        <v>446</v>
      </c>
      <c r="C55" s="1">
        <v>14.1</v>
      </c>
      <c r="D55" s="12"/>
      <c r="E55" s="1"/>
      <c r="F55" s="302" t="s">
        <v>466</v>
      </c>
      <c r="G55" s="215">
        <v>1</v>
      </c>
      <c r="H55" s="301"/>
      <c r="I55" s="1"/>
      <c r="J55" s="1"/>
    </row>
    <row r="56" spans="2:13" ht="15" thickBot="1" x14ac:dyDescent="0.4">
      <c r="B56" s="11"/>
      <c r="C56" s="1"/>
      <c r="D56" s="12"/>
      <c r="E56" s="1"/>
      <c r="F56" s="1"/>
      <c r="G56" s="1"/>
      <c r="H56" s="1"/>
      <c r="I56" s="1"/>
      <c r="J56" s="270" t="s">
        <v>468</v>
      </c>
    </row>
    <row r="57" spans="2:13" x14ac:dyDescent="0.3">
      <c r="B57" s="11" t="s">
        <v>455</v>
      </c>
      <c r="C57" s="1">
        <v>1.24</v>
      </c>
      <c r="D57" s="298" t="s">
        <v>102</v>
      </c>
      <c r="E57" s="1"/>
      <c r="F57" s="305" t="s">
        <v>476</v>
      </c>
      <c r="G57" s="211"/>
      <c r="H57" s="297"/>
      <c r="I57" s="1"/>
      <c r="J57" s="212" t="s">
        <v>431</v>
      </c>
      <c r="K57" s="212" t="s">
        <v>432</v>
      </c>
      <c r="L57" s="212"/>
    </row>
    <row r="58" spans="2:13" ht="13.5" thickBot="1" x14ac:dyDescent="0.35">
      <c r="B58" s="216" t="s">
        <v>458</v>
      </c>
      <c r="C58" s="308">
        <v>0.435</v>
      </c>
      <c r="D58" s="309">
        <f>C58/C51</f>
        <v>3.3358895705521474E-2</v>
      </c>
      <c r="E58" s="1"/>
      <c r="F58" s="11" t="s">
        <v>479</v>
      </c>
      <c r="G58" s="310">
        <f>C60+AVERAGE(G60,G62)</f>
        <v>402.00600000000003</v>
      </c>
      <c r="H58" s="298" t="s">
        <v>482</v>
      </c>
      <c r="I58" s="1"/>
      <c r="J58" s="212"/>
      <c r="K58" s="212" t="s">
        <v>433</v>
      </c>
      <c r="L58" s="212" t="s">
        <v>434</v>
      </c>
    </row>
    <row r="59" spans="2:13" ht="13.5" thickBot="1" x14ac:dyDescent="0.35">
      <c r="C59" s="1"/>
      <c r="E59" s="1"/>
      <c r="F59" s="315" t="s">
        <v>480</v>
      </c>
      <c r="G59" s="318"/>
      <c r="H59" s="316"/>
      <c r="I59" s="1"/>
      <c r="J59" s="212" t="s">
        <v>436</v>
      </c>
      <c r="K59" s="299">
        <v>17452</v>
      </c>
      <c r="L59" s="300">
        <v>1.0500000000000001E-2</v>
      </c>
    </row>
    <row r="60" spans="2:13" x14ac:dyDescent="0.3">
      <c r="B60" s="305" t="s">
        <v>470</v>
      </c>
      <c r="C60" s="307">
        <f>C62+C66+C69</f>
        <v>135.34564</v>
      </c>
      <c r="D60" s="296" t="s">
        <v>482</v>
      </c>
      <c r="E60" s="1"/>
      <c r="F60" s="317" t="s">
        <v>435</v>
      </c>
      <c r="G60" s="319">
        <f>(G50*12*(C54+G54*C55+G55*C57+G55*C58)/1000-C60)</f>
        <v>281.93936000000002</v>
      </c>
      <c r="H60" s="321" t="s">
        <v>5</v>
      </c>
      <c r="I60" s="1"/>
      <c r="J60" s="212" t="s">
        <v>439</v>
      </c>
      <c r="K60" s="299">
        <v>20243</v>
      </c>
      <c r="L60" s="300">
        <v>2.7E-2</v>
      </c>
    </row>
    <row r="61" spans="2:13" x14ac:dyDescent="0.3">
      <c r="B61" s="109"/>
      <c r="C61" s="1"/>
      <c r="D61" s="12"/>
      <c r="E61" s="1"/>
      <c r="F61" s="315"/>
      <c r="G61" s="320">
        <f>(G60+C75)/C75</f>
        <v>3.4666610673665796</v>
      </c>
      <c r="H61" s="321" t="s">
        <v>438</v>
      </c>
      <c r="I61" s="1"/>
      <c r="J61" s="212" t="s">
        <v>441</v>
      </c>
      <c r="K61" s="299">
        <v>23835</v>
      </c>
      <c r="L61" s="300">
        <v>4.4999999999999998E-2</v>
      </c>
    </row>
    <row r="62" spans="2:13" x14ac:dyDescent="0.3">
      <c r="B62" s="306" t="s">
        <v>477</v>
      </c>
      <c r="C62" s="175">
        <f>SUM(C63:C64)</f>
        <v>21.6</v>
      </c>
      <c r="D62" s="12"/>
      <c r="E62" s="1"/>
      <c r="F62" s="317" t="s">
        <v>443</v>
      </c>
      <c r="G62" s="319">
        <f>(G50*12*(C50+G54*C51+G55*C57+G55*C58)/1000-C60)</f>
        <v>251.38136000000003</v>
      </c>
      <c r="H62" s="321" t="s">
        <v>5</v>
      </c>
      <c r="I62" s="1"/>
      <c r="J62" s="212" t="s">
        <v>444</v>
      </c>
      <c r="K62" s="299">
        <v>29753</v>
      </c>
      <c r="L62" s="300">
        <v>7.1499999999999994E-2</v>
      </c>
    </row>
    <row r="63" spans="2:13" ht="13.5" thickBot="1" x14ac:dyDescent="0.35">
      <c r="B63" s="11" t="s">
        <v>437</v>
      </c>
      <c r="C63" s="175">
        <f>Flux!H10</f>
        <v>12.6</v>
      </c>
      <c r="D63" s="12"/>
      <c r="E63" s="1"/>
      <c r="F63" s="322"/>
      <c r="G63" s="324">
        <f>(G62+C75)/C75</f>
        <v>3.1993119860017503</v>
      </c>
      <c r="H63" s="323" t="s">
        <v>438</v>
      </c>
      <c r="I63" s="1"/>
      <c r="J63" s="212" t="s">
        <v>447</v>
      </c>
      <c r="K63" s="299">
        <v>62716</v>
      </c>
      <c r="L63" s="300">
        <v>0.16350000000000001</v>
      </c>
    </row>
    <row r="64" spans="2:13" x14ac:dyDescent="0.3">
      <c r="B64" s="11" t="s">
        <v>440</v>
      </c>
      <c r="C64" s="1">
        <f>Flux!E13</f>
        <v>9</v>
      </c>
      <c r="D64" s="12"/>
      <c r="E64" s="1"/>
      <c r="I64" s="1"/>
      <c r="J64" s="1"/>
    </row>
    <row r="65" spans="2:11" x14ac:dyDescent="0.3">
      <c r="B65" s="11"/>
      <c r="C65" s="1"/>
      <c r="D65" s="12"/>
      <c r="E65" s="1"/>
      <c r="I65" s="1"/>
      <c r="J65" s="212">
        <v>100.77500000000001</v>
      </c>
      <c r="K65" s="212" t="s">
        <v>450</v>
      </c>
    </row>
    <row r="66" spans="2:11" x14ac:dyDescent="0.3">
      <c r="B66" s="306" t="s">
        <v>445</v>
      </c>
      <c r="C66" s="175">
        <f>SUM(C67:C67)</f>
        <v>31.8</v>
      </c>
      <c r="D66" s="12"/>
      <c r="E66" s="1"/>
      <c r="J66" s="212">
        <v>17.8</v>
      </c>
      <c r="K66" s="212" t="s">
        <v>451</v>
      </c>
    </row>
    <row r="67" spans="2:11" x14ac:dyDescent="0.3">
      <c r="B67" s="11" t="s">
        <v>448</v>
      </c>
      <c r="C67" s="175">
        <f>Flux!H17</f>
        <v>31.8</v>
      </c>
      <c r="D67" s="12"/>
      <c r="E67" s="1"/>
      <c r="J67" s="212">
        <v>1176</v>
      </c>
      <c r="K67" s="212" t="s">
        <v>452</v>
      </c>
    </row>
    <row r="68" spans="2:11" x14ac:dyDescent="0.3">
      <c r="B68" s="11"/>
      <c r="C68" s="1"/>
      <c r="D68" s="12"/>
      <c r="E68" s="1"/>
      <c r="J68" s="212">
        <v>1297</v>
      </c>
      <c r="K68" s="212" t="s">
        <v>453</v>
      </c>
    </row>
    <row r="69" spans="2:11" x14ac:dyDescent="0.3">
      <c r="B69" s="306" t="s">
        <v>454</v>
      </c>
      <c r="C69" s="175">
        <f>SUM(C70:C73)</f>
        <v>81.945639999999997</v>
      </c>
      <c r="D69" s="12"/>
      <c r="E69" s="1"/>
      <c r="I69" s="1"/>
      <c r="J69" s="212">
        <v>1466</v>
      </c>
      <c r="K69" s="212" t="s">
        <v>456</v>
      </c>
    </row>
    <row r="70" spans="2:11" x14ac:dyDescent="0.3">
      <c r="B70" s="11" t="s">
        <v>457</v>
      </c>
      <c r="C70" s="175">
        <v>40.9</v>
      </c>
      <c r="D70" s="12"/>
      <c r="E70" s="1"/>
      <c r="I70" s="1"/>
      <c r="J70" s="212">
        <f>J65/J67</f>
        <v>8.5693027210884357E-2</v>
      </c>
      <c r="K70" s="212" t="s">
        <v>459</v>
      </c>
    </row>
    <row r="71" spans="2:11" x14ac:dyDescent="0.3">
      <c r="B71" s="11" t="s">
        <v>460</v>
      </c>
      <c r="C71" s="175">
        <f>3.132*0.9*0.3</f>
        <v>0.84563999999999995</v>
      </c>
      <c r="D71" s="12"/>
      <c r="E71" s="1"/>
      <c r="I71" s="1"/>
      <c r="J71" s="212">
        <f>J65/J68</f>
        <v>7.769853508095606E-2</v>
      </c>
      <c r="K71" s="212" t="s">
        <v>461</v>
      </c>
    </row>
    <row r="72" spans="2:11" x14ac:dyDescent="0.3">
      <c r="B72" s="11" t="s">
        <v>462</v>
      </c>
      <c r="C72" s="175">
        <v>4.0999999999999996</v>
      </c>
      <c r="D72" s="12"/>
      <c r="E72" s="1"/>
      <c r="I72" s="1"/>
      <c r="J72" s="212">
        <f>J65/J69</f>
        <v>6.874147339699864E-2</v>
      </c>
      <c r="K72" s="212" t="s">
        <v>463</v>
      </c>
    </row>
    <row r="73" spans="2:11" ht="13.5" thickBot="1" x14ac:dyDescent="0.35">
      <c r="B73" s="216" t="s">
        <v>464</v>
      </c>
      <c r="C73" s="304">
        <v>36.1</v>
      </c>
      <c r="D73" s="301"/>
      <c r="E73" s="1"/>
      <c r="I73" s="1"/>
    </row>
    <row r="74" spans="2:11" ht="13.5" thickBot="1" x14ac:dyDescent="0.35">
      <c r="E74" s="1"/>
      <c r="F74" s="1"/>
      <c r="G74" s="1"/>
      <c r="H74" s="1"/>
      <c r="I74" s="1"/>
      <c r="J74" s="1"/>
    </row>
    <row r="75" spans="2:11" x14ac:dyDescent="0.3">
      <c r="B75" s="311" t="s">
        <v>478</v>
      </c>
      <c r="C75" s="307">
        <f>C32+E32</f>
        <v>114.3</v>
      </c>
      <c r="D75" s="312" t="s">
        <v>5</v>
      </c>
      <c r="E75" s="1"/>
      <c r="F75" s="1"/>
      <c r="G75" s="1"/>
      <c r="H75" s="219"/>
      <c r="I75" s="1"/>
      <c r="J75" s="1"/>
    </row>
    <row r="76" spans="2:11" ht="13.5" thickBot="1" x14ac:dyDescent="0.35">
      <c r="B76" s="313" t="s">
        <v>467</v>
      </c>
      <c r="C76" s="314">
        <f>AVERAGE(J71:J72)</f>
        <v>7.3220004238977343E-2</v>
      </c>
      <c r="D76" s="301"/>
      <c r="E76" s="1"/>
      <c r="F76" s="1"/>
      <c r="G76" s="175"/>
      <c r="H76" s="219"/>
      <c r="I76" s="1"/>
      <c r="J76" s="1"/>
    </row>
    <row r="77" spans="2:11" x14ac:dyDescent="0.3">
      <c r="B77" s="177"/>
      <c r="C77" s="176"/>
      <c r="D77" s="2"/>
      <c r="E77" s="79"/>
      <c r="F77" s="79"/>
      <c r="G77" s="1"/>
      <c r="H77" s="1"/>
      <c r="I77" s="1"/>
      <c r="J77" s="1"/>
    </row>
    <row r="78" spans="2:11" x14ac:dyDescent="0.3">
      <c r="E78" s="79"/>
      <c r="F78" s="79"/>
      <c r="G78" s="1"/>
      <c r="H78" s="1"/>
      <c r="I78" s="1"/>
      <c r="J78" s="1"/>
    </row>
    <row r="79" spans="2:11" x14ac:dyDescent="0.3">
      <c r="E79" s="79"/>
      <c r="F79" s="79"/>
      <c r="G79" s="1"/>
      <c r="H79" s="1"/>
      <c r="I79" s="1"/>
      <c r="J79" s="1"/>
    </row>
    <row r="80" spans="2:11" x14ac:dyDescent="0.3">
      <c r="E80" s="79"/>
      <c r="F80" s="79"/>
      <c r="G80" s="1"/>
      <c r="H80" s="1"/>
      <c r="I80" s="1"/>
      <c r="J80" s="1"/>
    </row>
  </sheetData>
  <phoneticPr fontId="1" type="noConversion"/>
  <hyperlinks>
    <hyperlink ref="B8" r:id="rId1" xr:uid="{B9336547-7EE0-4E6D-9BBB-2765327C03DA}"/>
    <hyperlink ref="J56" r:id="rId2" xr:uid="{9CB29E6A-440A-4B16-8B21-034350AEE775}"/>
  </hyperlinks>
  <pageMargins left="0.7" right="0.7" top="0.75" bottom="0.75" header="0.3" footer="0.3"/>
  <pageSetup paperSize="9" orientation="portrait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8A1422-D0DD-4335-AFCB-4C8076D056C8}">
  <dimension ref="A1:AL95"/>
  <sheetViews>
    <sheetView zoomScaleNormal="100" workbookViewId="0">
      <selection activeCell="K1" sqref="K1"/>
    </sheetView>
  </sheetViews>
  <sheetFormatPr baseColWidth="10" defaultRowHeight="13" x14ac:dyDescent="0.3"/>
  <cols>
    <col min="1" max="1" width="10.90625" style="1"/>
    <col min="2" max="2" width="25.54296875" style="198" bestFit="1" customWidth="1"/>
    <col min="3" max="3" width="8" style="1" customWidth="1"/>
    <col min="4" max="4" width="6.81640625" style="1" bestFit="1" customWidth="1"/>
    <col min="5" max="5" width="7.453125" style="1" bestFit="1" customWidth="1"/>
    <col min="6" max="9" width="10.90625" style="1"/>
    <col min="10" max="10" width="14.1796875" style="1" customWidth="1"/>
    <col min="11" max="11" width="11.7265625" style="1" customWidth="1"/>
    <col min="12" max="12" width="11.1796875" style="1" bestFit="1" customWidth="1"/>
    <col min="13" max="16384" width="10.90625" style="1"/>
  </cols>
  <sheetData>
    <row r="1" spans="1:38" x14ac:dyDescent="0.3">
      <c r="A1" s="50" t="s">
        <v>13</v>
      </c>
      <c r="E1" s="218"/>
      <c r="F1" s="50"/>
      <c r="J1" s="198"/>
      <c r="K1" s="198"/>
      <c r="L1" s="198"/>
      <c r="M1" s="198"/>
      <c r="N1" s="198"/>
      <c r="O1" s="198"/>
      <c r="P1" s="198"/>
      <c r="Q1" s="198"/>
      <c r="R1" s="198"/>
      <c r="S1" s="198"/>
      <c r="T1" s="198"/>
      <c r="U1" s="198"/>
      <c r="V1" s="198"/>
      <c r="W1" s="198"/>
      <c r="X1" s="198"/>
      <c r="Y1" s="198"/>
      <c r="Z1" s="198"/>
      <c r="AA1" s="198"/>
      <c r="AB1" s="198"/>
      <c r="AC1" s="198"/>
      <c r="AD1" s="198"/>
      <c r="AE1" s="198"/>
      <c r="AF1" s="198"/>
      <c r="AG1" s="198"/>
      <c r="AH1" s="198"/>
      <c r="AI1" s="198"/>
      <c r="AJ1" s="198"/>
      <c r="AK1" s="198"/>
      <c r="AL1" s="198"/>
    </row>
    <row r="2" spans="1:38" x14ac:dyDescent="0.3">
      <c r="B2" s="271"/>
      <c r="C2" s="272" t="s">
        <v>183</v>
      </c>
      <c r="D2" s="273" t="s">
        <v>228</v>
      </c>
      <c r="E2" s="274">
        <f>SUM(E10,E4)</f>
        <v>121.74917997630843</v>
      </c>
      <c r="F2" s="275" t="s">
        <v>252</v>
      </c>
      <c r="G2" s="225"/>
      <c r="H2" s="225"/>
      <c r="I2" s="225"/>
      <c r="J2" s="276"/>
      <c r="K2" s="198"/>
      <c r="L2" s="198"/>
      <c r="M2" s="198"/>
      <c r="N2" s="198"/>
      <c r="O2" s="198"/>
      <c r="P2" s="198"/>
      <c r="Q2" s="198"/>
      <c r="R2" s="198"/>
      <c r="S2" s="198"/>
      <c r="T2" s="198"/>
      <c r="U2" s="198"/>
      <c r="V2" s="198"/>
      <c r="W2" s="198"/>
      <c r="X2" s="198"/>
      <c r="Y2" s="198"/>
      <c r="Z2" s="198"/>
      <c r="AA2" s="198"/>
      <c r="AB2" s="198"/>
      <c r="AC2" s="198"/>
      <c r="AD2" s="198"/>
      <c r="AE2" s="198"/>
      <c r="AF2" s="198"/>
      <c r="AG2" s="198"/>
      <c r="AH2" s="198"/>
      <c r="AI2" s="198"/>
      <c r="AJ2" s="198"/>
      <c r="AK2" s="198"/>
      <c r="AL2" s="198"/>
    </row>
    <row r="3" spans="1:38" x14ac:dyDescent="0.3">
      <c r="B3" s="280"/>
      <c r="C3" s="217"/>
      <c r="D3" s="284"/>
      <c r="E3" s="180"/>
      <c r="F3" s="2"/>
      <c r="J3" s="279"/>
      <c r="K3" s="198"/>
      <c r="L3" s="198"/>
      <c r="M3" s="198"/>
      <c r="N3" s="198"/>
      <c r="O3" s="198"/>
      <c r="P3" s="198"/>
      <c r="Q3" s="198"/>
      <c r="R3" s="198"/>
      <c r="S3" s="198"/>
      <c r="T3" s="198"/>
      <c r="U3" s="198"/>
      <c r="V3" s="198"/>
      <c r="W3" s="198"/>
      <c r="X3" s="198"/>
      <c r="Y3" s="198"/>
      <c r="Z3" s="198"/>
      <c r="AA3" s="198"/>
      <c r="AB3" s="198"/>
      <c r="AC3" s="198"/>
      <c r="AD3" s="198"/>
      <c r="AE3" s="198"/>
      <c r="AF3" s="198"/>
      <c r="AG3" s="198"/>
      <c r="AH3" s="198"/>
      <c r="AI3" s="198"/>
      <c r="AJ3" s="198"/>
      <c r="AK3" s="198"/>
      <c r="AL3" s="198"/>
    </row>
    <row r="4" spans="1:38" x14ac:dyDescent="0.3">
      <c r="B4" s="280"/>
      <c r="C4" s="217"/>
      <c r="D4" s="284"/>
      <c r="E4" s="180">
        <f>SUM( E5:E8)</f>
        <v>103.53999999999998</v>
      </c>
      <c r="F4" s="2" t="s">
        <v>414</v>
      </c>
      <c r="J4" s="279"/>
      <c r="K4" s="198"/>
      <c r="L4" s="198"/>
      <c r="M4" s="198"/>
      <c r="N4" s="198"/>
      <c r="O4" s="198"/>
      <c r="P4" s="198"/>
      <c r="Q4" s="198"/>
      <c r="R4" s="198"/>
      <c r="S4" s="198"/>
      <c r="T4" s="198"/>
      <c r="U4" s="198"/>
      <c r="V4" s="198"/>
      <c r="W4" s="198"/>
      <c r="X4" s="198"/>
      <c r="Y4" s="198"/>
      <c r="Z4" s="198"/>
      <c r="AA4" s="198"/>
      <c r="AB4" s="198"/>
      <c r="AC4" s="198"/>
      <c r="AD4" s="198"/>
      <c r="AE4" s="198"/>
      <c r="AF4" s="198"/>
      <c r="AG4" s="198"/>
      <c r="AH4" s="198"/>
      <c r="AI4" s="198"/>
      <c r="AJ4" s="198"/>
      <c r="AK4" s="198"/>
      <c r="AL4" s="198"/>
    </row>
    <row r="5" spans="1:38" x14ac:dyDescent="0.3">
      <c r="B5" s="280"/>
      <c r="C5" s="217"/>
      <c r="D5" s="284"/>
      <c r="E5" s="79">
        <f>Flux!E15</f>
        <v>38.5</v>
      </c>
      <c r="F5" s="1" t="s">
        <v>189</v>
      </c>
      <c r="J5" s="279"/>
      <c r="K5" s="198"/>
      <c r="L5" s="198"/>
      <c r="M5" s="198"/>
      <c r="N5" s="198"/>
      <c r="O5" s="198"/>
      <c r="P5" s="198"/>
      <c r="Q5" s="198"/>
      <c r="R5" s="198"/>
      <c r="S5" s="198"/>
      <c r="T5" s="198"/>
      <c r="U5" s="198"/>
      <c r="V5" s="198"/>
      <c r="W5" s="198"/>
      <c r="X5" s="198"/>
      <c r="Y5" s="198"/>
      <c r="Z5" s="198"/>
      <c r="AA5" s="198"/>
      <c r="AB5" s="198"/>
      <c r="AC5" s="198"/>
      <c r="AD5" s="198"/>
      <c r="AE5" s="198"/>
      <c r="AF5" s="198"/>
      <c r="AG5" s="198"/>
      <c r="AH5" s="198"/>
      <c r="AI5" s="198"/>
      <c r="AJ5" s="198"/>
      <c r="AK5" s="198"/>
      <c r="AL5" s="198"/>
    </row>
    <row r="6" spans="1:38" x14ac:dyDescent="0.3">
      <c r="B6" s="280"/>
      <c r="C6" s="217"/>
      <c r="D6" s="284"/>
      <c r="E6" s="79">
        <f>Flux!E22</f>
        <v>20.100000000000001</v>
      </c>
      <c r="F6" s="1" t="s">
        <v>190</v>
      </c>
      <c r="J6" s="279"/>
      <c r="K6" s="198"/>
      <c r="L6" s="198"/>
      <c r="M6" s="198"/>
      <c r="N6" s="198"/>
      <c r="O6" s="198"/>
      <c r="P6" s="198"/>
      <c r="Q6" s="198"/>
      <c r="R6" s="198"/>
      <c r="S6" s="198"/>
      <c r="T6" s="198"/>
      <c r="U6" s="198"/>
      <c r="V6" s="198"/>
      <c r="W6" s="198"/>
      <c r="X6" s="198"/>
      <c r="Y6" s="198"/>
      <c r="Z6" s="198"/>
      <c r="AA6" s="198"/>
      <c r="AB6" s="198"/>
      <c r="AC6" s="198"/>
      <c r="AD6" s="198"/>
      <c r="AE6" s="198"/>
      <c r="AF6" s="198"/>
      <c r="AG6" s="198"/>
      <c r="AH6" s="198"/>
      <c r="AI6" s="198"/>
      <c r="AJ6" s="198"/>
      <c r="AK6" s="198"/>
      <c r="AL6" s="198"/>
    </row>
    <row r="7" spans="1:38" x14ac:dyDescent="0.3">
      <c r="B7" s="280"/>
      <c r="C7" s="217"/>
      <c r="D7" s="284"/>
      <c r="E7" s="79">
        <v>30</v>
      </c>
      <c r="F7" s="1" t="s">
        <v>411</v>
      </c>
      <c r="J7" s="279"/>
      <c r="K7" s="198"/>
      <c r="L7" s="198"/>
      <c r="M7" s="198"/>
      <c r="N7" s="198"/>
      <c r="O7" s="198"/>
      <c r="P7" s="198"/>
      <c r="Q7" s="198"/>
      <c r="R7" s="198"/>
      <c r="S7" s="198"/>
      <c r="T7" s="198"/>
      <c r="U7" s="198"/>
      <c r="V7" s="198"/>
      <c r="W7" s="198"/>
      <c r="X7" s="198"/>
      <c r="Y7" s="198"/>
      <c r="Z7" s="198"/>
      <c r="AA7" s="198"/>
      <c r="AB7" s="198"/>
      <c r="AC7" s="198"/>
      <c r="AD7" s="198"/>
      <c r="AE7" s="198"/>
      <c r="AF7" s="198"/>
      <c r="AG7" s="198"/>
      <c r="AH7" s="198"/>
      <c r="AI7" s="198"/>
      <c r="AJ7" s="198"/>
      <c r="AK7" s="198"/>
      <c r="AL7" s="198"/>
    </row>
    <row r="8" spans="1:38" x14ac:dyDescent="0.3">
      <c r="B8" s="280"/>
      <c r="C8" s="217"/>
      <c r="D8" s="284"/>
      <c r="E8" s="181">
        <f>Flux!C6-Flux!C3</f>
        <v>14.939999999999984</v>
      </c>
      <c r="F8" s="1" t="s">
        <v>299</v>
      </c>
      <c r="J8" s="279"/>
      <c r="K8" s="198"/>
      <c r="L8" s="198"/>
      <c r="M8" s="198"/>
      <c r="N8" s="198"/>
      <c r="O8" s="198"/>
      <c r="P8" s="198"/>
      <c r="Q8" s="198"/>
      <c r="R8" s="198"/>
      <c r="S8" s="198"/>
      <c r="T8" s="198"/>
      <c r="U8" s="198"/>
      <c r="V8" s="198"/>
      <c r="W8" s="198"/>
      <c r="X8" s="198"/>
      <c r="Y8" s="198"/>
      <c r="Z8" s="198"/>
      <c r="AA8" s="198"/>
      <c r="AB8" s="198"/>
      <c r="AC8" s="198"/>
      <c r="AD8" s="198"/>
      <c r="AE8" s="198"/>
      <c r="AF8" s="198"/>
      <c r="AG8" s="198"/>
      <c r="AH8" s="198"/>
      <c r="AI8" s="198"/>
      <c r="AJ8" s="198"/>
      <c r="AK8" s="198"/>
      <c r="AL8" s="198"/>
    </row>
    <row r="9" spans="1:38" x14ac:dyDescent="0.3">
      <c r="B9" s="280"/>
      <c r="C9" s="217"/>
      <c r="D9" s="284" t="s">
        <v>228</v>
      </c>
      <c r="E9" s="180"/>
      <c r="F9" s="2"/>
      <c r="J9" s="279"/>
      <c r="K9" s="198"/>
      <c r="L9" s="198"/>
      <c r="M9" s="198"/>
      <c r="N9" s="198"/>
      <c r="O9" s="198"/>
      <c r="P9" s="198"/>
      <c r="Q9" s="198"/>
      <c r="R9" s="198"/>
      <c r="S9" s="198"/>
      <c r="T9" s="198"/>
      <c r="U9" s="198"/>
      <c r="V9" s="198"/>
      <c r="W9" s="198"/>
      <c r="X9" s="198"/>
      <c r="Y9" s="198"/>
      <c r="Z9" s="198"/>
      <c r="AA9" s="198"/>
      <c r="AB9" s="198"/>
      <c r="AC9" s="198"/>
      <c r="AD9" s="198"/>
      <c r="AE9" s="198"/>
      <c r="AF9" s="198"/>
      <c r="AG9" s="198"/>
      <c r="AH9" s="198"/>
      <c r="AI9" s="198"/>
      <c r="AJ9" s="198"/>
      <c r="AK9" s="198"/>
      <c r="AL9" s="198"/>
    </row>
    <row r="10" spans="1:38" x14ac:dyDescent="0.3">
      <c r="B10" s="277" t="s">
        <v>413</v>
      </c>
      <c r="C10" s="180">
        <f>SUM( C11:C14)</f>
        <v>606.9726658769481</v>
      </c>
      <c r="D10" s="278">
        <v>0.03</v>
      </c>
      <c r="E10" s="180">
        <f>C10*D10</f>
        <v>18.209179976308441</v>
      </c>
      <c r="F10" s="2" t="s">
        <v>412</v>
      </c>
      <c r="J10" s="279"/>
      <c r="K10" s="198"/>
      <c r="L10" s="198"/>
      <c r="M10" s="198"/>
      <c r="N10" s="198"/>
      <c r="O10" s="198"/>
      <c r="P10" s="198"/>
      <c r="Q10" s="198"/>
      <c r="R10" s="198"/>
      <c r="S10" s="198"/>
      <c r="T10" s="198"/>
      <c r="U10" s="198"/>
      <c r="V10" s="198"/>
      <c r="W10" s="198"/>
      <c r="X10" s="198"/>
      <c r="Y10" s="198"/>
      <c r="Z10" s="198"/>
      <c r="AA10" s="198"/>
      <c r="AB10" s="198"/>
      <c r="AC10" s="198"/>
      <c r="AD10" s="198"/>
      <c r="AE10" s="198"/>
      <c r="AF10" s="198"/>
      <c r="AG10" s="198"/>
      <c r="AH10" s="198"/>
      <c r="AI10" s="198"/>
      <c r="AJ10" s="198"/>
      <c r="AK10" s="198"/>
      <c r="AL10" s="198"/>
    </row>
    <row r="11" spans="1:38" x14ac:dyDescent="0.3">
      <c r="B11" s="280" t="s">
        <v>184</v>
      </c>
      <c r="C11" s="181">
        <f>C26*0.95+D27*0.2</f>
        <v>201.91499999999999</v>
      </c>
      <c r="J11" s="279"/>
      <c r="K11" s="198"/>
      <c r="L11" s="198"/>
      <c r="M11" s="198"/>
      <c r="N11" s="198"/>
      <c r="O11" s="198"/>
      <c r="P11" s="198"/>
      <c r="Q11" s="198"/>
      <c r="R11" s="198"/>
      <c r="S11" s="198"/>
      <c r="T11" s="198"/>
      <c r="U11" s="198"/>
      <c r="V11" s="198"/>
      <c r="W11" s="198"/>
      <c r="X11" s="198"/>
      <c r="Y11" s="198"/>
      <c r="Z11" s="198"/>
      <c r="AA11" s="198"/>
      <c r="AB11" s="198"/>
      <c r="AC11" s="198"/>
      <c r="AD11" s="198"/>
      <c r="AE11" s="198"/>
      <c r="AF11" s="198"/>
      <c r="AG11" s="198"/>
      <c r="AH11" s="198"/>
      <c r="AI11" s="198"/>
      <c r="AJ11" s="198"/>
      <c r="AK11" s="198"/>
      <c r="AL11" s="198"/>
    </row>
    <row r="12" spans="1:38" x14ac:dyDescent="0.3">
      <c r="B12" s="280" t="s">
        <v>207</v>
      </c>
      <c r="C12" s="181">
        <f>C22*23.1/96.7+C21*23.1/(96.7-18.5*E20/E21)</f>
        <v>200.19537197902662</v>
      </c>
      <c r="J12" s="279"/>
      <c r="K12" s="198"/>
      <c r="L12" s="198"/>
      <c r="M12" s="198"/>
      <c r="N12" s="198"/>
      <c r="O12" s="198"/>
      <c r="P12" s="198"/>
      <c r="Q12" s="198"/>
      <c r="R12" s="198"/>
      <c r="S12" s="198"/>
      <c r="T12" s="198"/>
      <c r="U12" s="198"/>
      <c r="V12" s="198"/>
      <c r="W12" s="198"/>
      <c r="X12" s="198"/>
      <c r="Y12" s="198"/>
      <c r="Z12" s="198"/>
      <c r="AA12" s="198"/>
      <c r="AB12" s="198"/>
      <c r="AC12" s="198"/>
      <c r="AD12" s="198"/>
      <c r="AE12" s="198"/>
      <c r="AF12" s="198"/>
      <c r="AG12" s="198"/>
      <c r="AH12" s="198"/>
      <c r="AI12" s="198"/>
      <c r="AJ12" s="198"/>
      <c r="AK12" s="198"/>
      <c r="AL12" s="198"/>
    </row>
    <row r="13" spans="1:38" x14ac:dyDescent="0.3">
      <c r="B13" s="280" t="s">
        <v>210</v>
      </c>
      <c r="C13" s="181">
        <f>C20*2/3*0.9</f>
        <v>51.959999999999994</v>
      </c>
      <c r="J13" s="279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</row>
    <row r="14" spans="1:38" x14ac:dyDescent="0.3">
      <c r="B14" s="280" t="s">
        <v>185</v>
      </c>
      <c r="C14" s="181">
        <f>(L27-C20)*2/3*0.9</f>
        <v>152.90229389792154</v>
      </c>
      <c r="J14" s="279"/>
      <c r="K14" s="198"/>
      <c r="L14" s="198"/>
      <c r="M14" s="198"/>
      <c r="N14" s="198"/>
      <c r="O14" s="198"/>
      <c r="P14" s="198"/>
      <c r="Q14" s="198"/>
      <c r="R14" s="198"/>
      <c r="S14" s="198"/>
      <c r="T14" s="198"/>
      <c r="U14" s="198"/>
      <c r="V14" s="198"/>
      <c r="W14" s="198"/>
      <c r="X14" s="198"/>
      <c r="Y14" s="198"/>
      <c r="Z14" s="198"/>
      <c r="AA14" s="198"/>
      <c r="AB14" s="198"/>
      <c r="AC14" s="198"/>
      <c r="AD14" s="198"/>
      <c r="AE14" s="198"/>
      <c r="AF14" s="198"/>
      <c r="AG14" s="198"/>
      <c r="AH14" s="198"/>
      <c r="AI14" s="198"/>
      <c r="AJ14" s="198"/>
      <c r="AK14" s="198"/>
      <c r="AL14" s="198"/>
    </row>
    <row r="15" spans="1:38" ht="14.5" x14ac:dyDescent="0.35">
      <c r="B15" s="281"/>
      <c r="C15" s="282"/>
      <c r="D15" s="282"/>
      <c r="E15" s="282"/>
      <c r="F15" s="282"/>
      <c r="G15" s="282"/>
      <c r="H15" s="282"/>
      <c r="I15" s="282"/>
      <c r="J15" s="283"/>
      <c r="K15" s="198"/>
      <c r="L15" s="198"/>
      <c r="M15" s="198"/>
      <c r="N15" s="198"/>
      <c r="O15" s="198"/>
      <c r="P15" s="198"/>
      <c r="Q15" s="198"/>
      <c r="R15" s="198"/>
      <c r="S15" s="198"/>
      <c r="T15" s="198"/>
      <c r="U15" s="198"/>
      <c r="V15" s="198"/>
      <c r="W15" s="198"/>
      <c r="X15" s="198"/>
      <c r="Y15" s="198"/>
      <c r="Z15" s="198"/>
      <c r="AA15" s="198"/>
      <c r="AB15" s="198"/>
      <c r="AC15" s="198"/>
      <c r="AD15" s="198"/>
      <c r="AE15" s="198"/>
      <c r="AF15" s="198"/>
      <c r="AG15" s="198"/>
      <c r="AH15" s="198"/>
      <c r="AI15" s="198"/>
      <c r="AJ15" s="198"/>
      <c r="AK15" s="198"/>
      <c r="AL15" s="198"/>
    </row>
    <row r="16" spans="1:38" ht="14.5" x14ac:dyDescent="0.35">
      <c r="B16"/>
      <c r="E16" s="181"/>
      <c r="J16" s="198"/>
      <c r="K16" s="198"/>
      <c r="L16" s="198"/>
      <c r="M16" s="198"/>
      <c r="N16" s="198"/>
      <c r="O16" s="198"/>
      <c r="P16" s="198"/>
      <c r="Q16" s="198"/>
      <c r="R16" s="198"/>
      <c r="S16" s="198"/>
      <c r="T16" s="198"/>
      <c r="U16" s="198"/>
      <c r="V16" s="198"/>
      <c r="W16" s="198"/>
      <c r="X16" s="198"/>
      <c r="Y16" s="198"/>
      <c r="Z16" s="198"/>
      <c r="AA16" s="198"/>
      <c r="AB16" s="198"/>
      <c r="AC16" s="198"/>
      <c r="AD16" s="198"/>
      <c r="AE16" s="198"/>
      <c r="AF16" s="198"/>
      <c r="AG16" s="198"/>
      <c r="AH16" s="198"/>
      <c r="AI16" s="198"/>
      <c r="AJ16" s="198"/>
      <c r="AK16" s="198"/>
      <c r="AL16" s="198"/>
    </row>
    <row r="17" spans="2:36" ht="14.5" x14ac:dyDescent="0.35">
      <c r="B17" s="270" t="s">
        <v>410</v>
      </c>
      <c r="L17" s="270" t="s">
        <v>409</v>
      </c>
    </row>
    <row r="19" spans="2:36" x14ac:dyDescent="0.3">
      <c r="B19" s="217" t="s">
        <v>204</v>
      </c>
      <c r="C19" s="176" t="s">
        <v>205</v>
      </c>
      <c r="D19" s="176" t="s">
        <v>199</v>
      </c>
      <c r="L19" s="2" t="s">
        <v>185</v>
      </c>
      <c r="V19" s="79" t="s">
        <v>211</v>
      </c>
    </row>
    <row r="20" spans="2:36" x14ac:dyDescent="0.3">
      <c r="B20" s="198" t="s">
        <v>192</v>
      </c>
      <c r="C20" s="1">
        <v>86.6</v>
      </c>
      <c r="D20" s="1">
        <v>24.6</v>
      </c>
      <c r="E20" s="175">
        <f>D20*1000/18.5</f>
        <v>1329.7297297297298</v>
      </c>
      <c r="F20" s="1" t="s">
        <v>211</v>
      </c>
      <c r="G20" s="1" t="s">
        <v>209</v>
      </c>
      <c r="H20" s="1" t="s">
        <v>226</v>
      </c>
      <c r="L20" s="1">
        <v>4.8</v>
      </c>
      <c r="M20" s="1" t="s">
        <v>219</v>
      </c>
      <c r="V20" s="220">
        <f>SUM(W21:W27)</f>
        <v>6.4519000000000002</v>
      </c>
    </row>
    <row r="21" spans="2:36" x14ac:dyDescent="0.3">
      <c r="B21" s="198" t="s">
        <v>193</v>
      </c>
      <c r="C21" s="1">
        <v>386.4</v>
      </c>
      <c r="D21" s="1">
        <v>57.1</v>
      </c>
      <c r="E21" s="175">
        <f>(D21+D20)*1000/96.7</f>
        <v>844.88107549120991</v>
      </c>
      <c r="F21" s="1" t="s">
        <v>211</v>
      </c>
      <c r="G21" s="222" t="s">
        <v>202</v>
      </c>
      <c r="H21" s="1" t="s">
        <v>203</v>
      </c>
      <c r="I21" s="1" t="s">
        <v>208</v>
      </c>
      <c r="J21" s="1" t="s">
        <v>227</v>
      </c>
      <c r="L21" s="214">
        <f>460/V20</f>
        <v>71.296827291185537</v>
      </c>
      <c r="M21" s="1" t="s">
        <v>218</v>
      </c>
      <c r="T21" s="1" t="s">
        <v>212</v>
      </c>
      <c r="U21" s="221">
        <v>0.06</v>
      </c>
      <c r="V21" s="1">
        <v>6.13</v>
      </c>
      <c r="W21" s="212">
        <f>V21*U21</f>
        <v>0.36779999999999996</v>
      </c>
    </row>
    <row r="22" spans="2:36" x14ac:dyDescent="0.3">
      <c r="B22" s="207" t="s">
        <v>232</v>
      </c>
      <c r="C22" s="214">
        <f>C23*(1-E23)</f>
        <v>285.17724055028714</v>
      </c>
      <c r="D22" s="214">
        <f>D23*(1-I23)</f>
        <v>45.58088728398247</v>
      </c>
      <c r="E22" s="175">
        <f>SUM(D20:D22)*1000/96.7</f>
        <v>1316.2449564010597</v>
      </c>
      <c r="F22" s="1" t="s">
        <v>211</v>
      </c>
      <c r="G22" s="222"/>
      <c r="L22" s="175">
        <f>L21*L20</f>
        <v>342.22477099769054</v>
      </c>
      <c r="M22" s="1" t="s">
        <v>220</v>
      </c>
      <c r="T22" s="1" t="s">
        <v>213</v>
      </c>
      <c r="U22" s="221">
        <v>0.37</v>
      </c>
      <c r="V22" s="1">
        <v>5.53</v>
      </c>
      <c r="W22" s="212">
        <f t="shared" ref="W22:W27" si="0">V22*U22</f>
        <v>2.0461</v>
      </c>
    </row>
    <row r="23" spans="2:36" x14ac:dyDescent="0.3">
      <c r="B23" s="198" t="s">
        <v>194</v>
      </c>
      <c r="C23" s="1">
        <v>902.8</v>
      </c>
      <c r="D23" s="1">
        <v>216.3</v>
      </c>
      <c r="E23" s="223">
        <f>1024.4/1497.4</f>
        <v>0.68411913984239348</v>
      </c>
      <c r="F23" s="1" t="s">
        <v>206</v>
      </c>
      <c r="I23" s="223">
        <f>306/387.7</f>
        <v>0.78927005416559193</v>
      </c>
      <c r="J23" s="1" t="s">
        <v>199</v>
      </c>
      <c r="L23" s="1">
        <v>1500</v>
      </c>
      <c r="M23" s="1" t="s">
        <v>221</v>
      </c>
      <c r="T23" s="1" t="s">
        <v>214</v>
      </c>
      <c r="U23" s="221">
        <v>0.1</v>
      </c>
      <c r="V23" s="1">
        <v>5.79</v>
      </c>
      <c r="W23" s="212">
        <f t="shared" si="0"/>
        <v>0.57900000000000007</v>
      </c>
    </row>
    <row r="24" spans="2:36" x14ac:dyDescent="0.3">
      <c r="B24" s="198" t="s">
        <v>195</v>
      </c>
      <c r="C24" s="1">
        <v>134.6</v>
      </c>
      <c r="D24" s="1">
        <v>4.9000000000000004</v>
      </c>
      <c r="E24" s="198" t="s">
        <v>200</v>
      </c>
      <c r="F24" s="1" t="s">
        <v>201</v>
      </c>
      <c r="L24" s="175">
        <f>L23*L22/1000</f>
        <v>513.33715649653584</v>
      </c>
      <c r="M24" s="1" t="s">
        <v>224</v>
      </c>
      <c r="U24" s="221"/>
      <c r="W24" s="212"/>
    </row>
    <row r="25" spans="2:36" x14ac:dyDescent="0.3">
      <c r="B25" s="198" t="s">
        <v>196</v>
      </c>
      <c r="C25" s="1">
        <v>735.5</v>
      </c>
      <c r="D25" s="1">
        <v>500.3</v>
      </c>
      <c r="E25" s="1">
        <v>209.1</v>
      </c>
      <c r="F25" s="1" t="s">
        <v>229</v>
      </c>
      <c r="L25" s="175">
        <f>L24/L20</f>
        <v>106.9452409367783</v>
      </c>
      <c r="M25" s="1" t="s">
        <v>222</v>
      </c>
      <c r="T25" s="1" t="s">
        <v>215</v>
      </c>
      <c r="U25" s="221">
        <v>0.42</v>
      </c>
      <c r="V25" s="1">
        <v>6.84</v>
      </c>
      <c r="W25" s="212">
        <f t="shared" si="0"/>
        <v>2.8727999999999998</v>
      </c>
    </row>
    <row r="26" spans="2:36" x14ac:dyDescent="0.3">
      <c r="B26" s="207" t="s">
        <v>197</v>
      </c>
      <c r="C26" s="50">
        <v>127.3</v>
      </c>
      <c r="D26" s="50">
        <v>95.4</v>
      </c>
      <c r="E26" s="50">
        <v>67.900000000000006</v>
      </c>
      <c r="F26" s="50" t="s">
        <v>230</v>
      </c>
      <c r="L26" s="1">
        <v>171.9</v>
      </c>
      <c r="M26" s="1" t="s">
        <v>223</v>
      </c>
      <c r="T26" s="1" t="s">
        <v>216</v>
      </c>
      <c r="U26" s="221">
        <v>0.05</v>
      </c>
      <c r="V26" s="1">
        <v>9.65</v>
      </c>
      <c r="W26" s="212">
        <f t="shared" si="0"/>
        <v>0.48250000000000004</v>
      </c>
    </row>
    <row r="27" spans="2:36" s="50" customFormat="1" x14ac:dyDescent="0.3">
      <c r="B27" s="207" t="s">
        <v>198</v>
      </c>
      <c r="C27" s="50">
        <f>C25-C26</f>
        <v>608.20000000000005</v>
      </c>
      <c r="D27" s="50">
        <f>D25-D26</f>
        <v>404.9</v>
      </c>
      <c r="E27" s="1"/>
      <c r="F27" s="261" t="s">
        <v>231</v>
      </c>
      <c r="K27" s="1"/>
      <c r="L27" s="175">
        <f>L24-L26</f>
        <v>341.43715649653586</v>
      </c>
      <c r="M27" s="1" t="s">
        <v>225</v>
      </c>
      <c r="N27" s="1"/>
      <c r="O27" s="1"/>
      <c r="P27" s="1"/>
      <c r="Q27" s="1"/>
      <c r="R27" s="1"/>
      <c r="S27" s="1"/>
      <c r="T27" s="1" t="s">
        <v>217</v>
      </c>
      <c r="U27" s="221">
        <v>0.01</v>
      </c>
      <c r="V27" s="1">
        <v>10.37</v>
      </c>
      <c r="W27" s="212">
        <f t="shared" si="0"/>
        <v>0.1037</v>
      </c>
      <c r="X27" s="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9" spans="2:36" x14ac:dyDescent="0.3">
      <c r="K29" s="50"/>
      <c r="L29" s="50"/>
      <c r="M29" s="50"/>
      <c r="N29" s="50"/>
      <c r="O29" s="50"/>
      <c r="P29" s="50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50"/>
      <c r="AJ29" s="50"/>
    </row>
    <row r="50" spans="1:4" x14ac:dyDescent="0.3">
      <c r="D50" s="241"/>
    </row>
    <row r="51" spans="1:4" x14ac:dyDescent="0.3">
      <c r="D51" s="244" t="s">
        <v>303</v>
      </c>
    </row>
    <row r="52" spans="1:4" x14ac:dyDescent="0.3">
      <c r="A52" s="242" t="s">
        <v>347</v>
      </c>
      <c r="B52" s="242" t="s">
        <v>305</v>
      </c>
      <c r="D52" s="243">
        <v>2821.0909999999999</v>
      </c>
    </row>
    <row r="53" spans="1:4" x14ac:dyDescent="0.3">
      <c r="A53" s="242" t="s">
        <v>348</v>
      </c>
      <c r="B53" s="242" t="s">
        <v>306</v>
      </c>
      <c r="D53" s="243">
        <v>1763.89</v>
      </c>
    </row>
    <row r="54" spans="1:4" x14ac:dyDescent="0.3">
      <c r="A54" s="242" t="s">
        <v>349</v>
      </c>
      <c r="B54" s="242" t="s">
        <v>307</v>
      </c>
      <c r="D54" s="243">
        <v>1732.2260000000001</v>
      </c>
    </row>
    <row r="55" spans="1:4" x14ac:dyDescent="0.3">
      <c r="A55" s="242" t="s">
        <v>350</v>
      </c>
      <c r="B55" s="242" t="s">
        <v>308</v>
      </c>
      <c r="D55" s="243">
        <v>1497.373</v>
      </c>
    </row>
    <row r="56" spans="1:4" x14ac:dyDescent="0.3">
      <c r="A56" s="242" t="s">
        <v>351</v>
      </c>
      <c r="B56" s="242" t="s">
        <v>309</v>
      </c>
      <c r="D56" s="243">
        <v>86.56</v>
      </c>
    </row>
    <row r="57" spans="1:4" x14ac:dyDescent="0.3">
      <c r="A57" s="242" t="s">
        <v>352</v>
      </c>
      <c r="B57" s="242" t="s">
        <v>310</v>
      </c>
      <c r="D57" s="243">
        <v>1410.8130000000001</v>
      </c>
    </row>
    <row r="58" spans="1:4" x14ac:dyDescent="0.3">
      <c r="A58" s="242" t="s">
        <v>353</v>
      </c>
      <c r="B58" s="242" t="s">
        <v>311</v>
      </c>
      <c r="D58" s="243">
        <v>386.37599999999998</v>
      </c>
    </row>
    <row r="59" spans="1:4" x14ac:dyDescent="0.3">
      <c r="A59" s="242" t="s">
        <v>354</v>
      </c>
      <c r="B59" s="242" t="s">
        <v>312</v>
      </c>
      <c r="D59" s="243">
        <v>1024.4369999999999</v>
      </c>
    </row>
    <row r="60" spans="1:4" x14ac:dyDescent="0.3">
      <c r="A60" s="242" t="s">
        <v>355</v>
      </c>
      <c r="B60" s="242" t="s">
        <v>313</v>
      </c>
      <c r="D60" s="243">
        <v>37.799999999999997</v>
      </c>
    </row>
    <row r="61" spans="1:4" x14ac:dyDescent="0.3">
      <c r="A61" s="242" t="s">
        <v>356</v>
      </c>
      <c r="B61" s="242" t="s">
        <v>314</v>
      </c>
      <c r="D61" s="243">
        <v>11.3</v>
      </c>
    </row>
    <row r="62" spans="1:4" x14ac:dyDescent="0.3">
      <c r="A62" s="242" t="s">
        <v>357</v>
      </c>
      <c r="B62" s="242" t="s">
        <v>315</v>
      </c>
      <c r="D62" s="243">
        <v>2.5459999999999998</v>
      </c>
    </row>
    <row r="63" spans="1:4" x14ac:dyDescent="0.3">
      <c r="A63" s="242" t="s">
        <v>358</v>
      </c>
      <c r="B63" s="242" t="s">
        <v>316</v>
      </c>
      <c r="D63" s="243">
        <v>23.954000000000001</v>
      </c>
    </row>
    <row r="64" spans="1:4" x14ac:dyDescent="0.3">
      <c r="A64" s="242" t="s">
        <v>359</v>
      </c>
      <c r="B64" s="242" t="s">
        <v>317</v>
      </c>
      <c r="D64" s="243">
        <v>47.448</v>
      </c>
    </row>
    <row r="65" spans="1:4" x14ac:dyDescent="0.3">
      <c r="A65" s="242" t="s">
        <v>360</v>
      </c>
      <c r="B65" s="242" t="s">
        <v>318</v>
      </c>
      <c r="D65" s="243">
        <v>0</v>
      </c>
    </row>
    <row r="66" spans="1:4" x14ac:dyDescent="0.3">
      <c r="A66" s="242" t="s">
        <v>361</v>
      </c>
      <c r="B66" s="242" t="s">
        <v>319</v>
      </c>
      <c r="D66" s="243">
        <v>149.60499999999999</v>
      </c>
    </row>
    <row r="67" spans="1:4" x14ac:dyDescent="0.3">
      <c r="A67" s="242" t="s">
        <v>362</v>
      </c>
      <c r="B67" s="242" t="s">
        <v>320</v>
      </c>
      <c r="D67" s="243">
        <v>130.98400000000001</v>
      </c>
    </row>
    <row r="68" spans="1:4" x14ac:dyDescent="0.3">
      <c r="A68" s="242" t="s">
        <v>363</v>
      </c>
      <c r="B68" s="242" t="s">
        <v>321</v>
      </c>
      <c r="D68" s="243">
        <v>16.562999999999999</v>
      </c>
    </row>
    <row r="69" spans="1:4" x14ac:dyDescent="0.3">
      <c r="A69" s="242" t="s">
        <v>364</v>
      </c>
      <c r="B69" s="242" t="s">
        <v>322</v>
      </c>
      <c r="D69" s="243">
        <v>2.0579999999999998</v>
      </c>
    </row>
    <row r="70" spans="1:4" x14ac:dyDescent="0.3">
      <c r="A70" s="242" t="s">
        <v>365</v>
      </c>
      <c r="B70" s="242" t="s">
        <v>323</v>
      </c>
      <c r="D70" s="243">
        <v>31.664000000000001</v>
      </c>
    </row>
    <row r="71" spans="1:4" x14ac:dyDescent="0.3">
      <c r="A71" s="242" t="s">
        <v>366</v>
      </c>
      <c r="B71" s="242" t="s">
        <v>324</v>
      </c>
      <c r="D71" s="243">
        <v>0</v>
      </c>
    </row>
    <row r="72" spans="1:4" x14ac:dyDescent="0.3">
      <c r="A72" s="242" t="s">
        <v>367</v>
      </c>
      <c r="B72" s="242" t="s">
        <v>325</v>
      </c>
      <c r="D72" s="243">
        <v>1057.201</v>
      </c>
    </row>
    <row r="73" spans="1:4" x14ac:dyDescent="0.3">
      <c r="A73" s="242" t="s">
        <v>368</v>
      </c>
      <c r="B73" s="242" t="s">
        <v>326</v>
      </c>
      <c r="D73" s="243">
        <v>1057.066</v>
      </c>
    </row>
    <row r="74" spans="1:4" x14ac:dyDescent="0.3">
      <c r="A74" s="242" t="s">
        <v>369</v>
      </c>
      <c r="B74" s="242" t="s">
        <v>327</v>
      </c>
      <c r="D74" s="243">
        <v>1042.577</v>
      </c>
    </row>
    <row r="75" spans="1:4" x14ac:dyDescent="0.3">
      <c r="A75" s="242" t="s">
        <v>370</v>
      </c>
      <c r="B75" s="242" t="s">
        <v>328</v>
      </c>
      <c r="D75" s="243">
        <v>902.76499999999999</v>
      </c>
    </row>
    <row r="76" spans="1:4" ht="14.5" x14ac:dyDescent="0.35">
      <c r="A76" s="242" t="s">
        <v>371</v>
      </c>
      <c r="B76" s="242" t="s">
        <v>329</v>
      </c>
      <c r="D76" s="239"/>
    </row>
    <row r="77" spans="1:4" x14ac:dyDescent="0.3">
      <c r="A77" s="242" t="s">
        <v>372</v>
      </c>
      <c r="B77" s="242" t="s">
        <v>330</v>
      </c>
      <c r="D77" s="243">
        <v>5.1980000000000004</v>
      </c>
    </row>
    <row r="78" spans="1:4" x14ac:dyDescent="0.3">
      <c r="A78" s="242" t="s">
        <v>373</v>
      </c>
      <c r="B78" s="242" t="s">
        <v>331</v>
      </c>
      <c r="D78" s="243">
        <v>134.614</v>
      </c>
    </row>
    <row r="79" spans="1:4" x14ac:dyDescent="0.3">
      <c r="A79" s="242" t="s">
        <v>374</v>
      </c>
      <c r="B79" s="242" t="s">
        <v>332</v>
      </c>
      <c r="D79" s="243">
        <v>1.149</v>
      </c>
    </row>
    <row r="80" spans="1:4" x14ac:dyDescent="0.3">
      <c r="A80" s="242" t="s">
        <v>375</v>
      </c>
      <c r="B80" s="242" t="s">
        <v>333</v>
      </c>
      <c r="D80" s="243">
        <v>13.34</v>
      </c>
    </row>
    <row r="81" spans="1:4" x14ac:dyDescent="0.3">
      <c r="A81" s="242" t="s">
        <v>376</v>
      </c>
      <c r="B81" s="242" t="s">
        <v>334</v>
      </c>
      <c r="D81" s="243">
        <v>0.13500000000000001</v>
      </c>
    </row>
    <row r="82" spans="1:4" x14ac:dyDescent="0.3">
      <c r="A82" s="242" t="s">
        <v>377</v>
      </c>
      <c r="B82" s="242" t="s">
        <v>335</v>
      </c>
      <c r="D82" s="243">
        <v>0</v>
      </c>
    </row>
    <row r="83" spans="1:4" ht="14.5" x14ac:dyDescent="0.35">
      <c r="A83" s="239"/>
      <c r="B83" s="240" t="s">
        <v>304</v>
      </c>
      <c r="D83" s="239"/>
    </row>
    <row r="84" spans="1:4" x14ac:dyDescent="0.3">
      <c r="A84" s="242" t="s">
        <v>378</v>
      </c>
      <c r="B84" s="242" t="s">
        <v>336</v>
      </c>
      <c r="D84" s="243">
        <v>1678.22</v>
      </c>
    </row>
    <row r="85" spans="1:4" ht="14.5" x14ac:dyDescent="0.35">
      <c r="A85" s="242" t="s">
        <v>379</v>
      </c>
      <c r="B85" s="242" t="s">
        <v>337</v>
      </c>
      <c r="D85" s="239"/>
    </row>
    <row r="86" spans="1:4" x14ac:dyDescent="0.3">
      <c r="A86" s="242" t="s">
        <v>380</v>
      </c>
      <c r="B86" s="242" t="s">
        <v>338</v>
      </c>
      <c r="D86" s="243">
        <v>234.17099999999999</v>
      </c>
    </row>
    <row r="87" spans="1:4" x14ac:dyDescent="0.3">
      <c r="A87" s="242" t="s">
        <v>381</v>
      </c>
      <c r="B87" s="242" t="s">
        <v>339</v>
      </c>
      <c r="D87" s="243">
        <v>49.277999999999999</v>
      </c>
    </row>
    <row r="88" spans="1:4" x14ac:dyDescent="0.3">
      <c r="A88" s="242" t="s">
        <v>382</v>
      </c>
      <c r="B88" s="242" t="s">
        <v>340</v>
      </c>
      <c r="D88" s="243">
        <v>181.83699999999999</v>
      </c>
    </row>
    <row r="89" spans="1:4" x14ac:dyDescent="0.3">
      <c r="A89" s="242" t="s">
        <v>383</v>
      </c>
      <c r="B89" s="242" t="s">
        <v>341</v>
      </c>
      <c r="D89" s="243">
        <v>735.495</v>
      </c>
    </row>
    <row r="90" spans="1:4" x14ac:dyDescent="0.3">
      <c r="A90" s="242" t="s">
        <v>384</v>
      </c>
      <c r="B90" s="242" t="s">
        <v>342</v>
      </c>
      <c r="D90" s="243">
        <v>127.286</v>
      </c>
    </row>
    <row r="91" spans="1:4" x14ac:dyDescent="0.3">
      <c r="A91" s="242" t="s">
        <v>385</v>
      </c>
      <c r="B91" s="242" t="s">
        <v>343</v>
      </c>
      <c r="D91" s="243">
        <v>5.6520000000000001</v>
      </c>
    </row>
    <row r="92" spans="1:4" x14ac:dyDescent="0.3">
      <c r="A92" s="242" t="s">
        <v>386</v>
      </c>
      <c r="B92" s="242" t="s">
        <v>344</v>
      </c>
      <c r="D92" s="243">
        <v>2.863</v>
      </c>
    </row>
    <row r="93" spans="1:4" x14ac:dyDescent="0.3">
      <c r="A93" s="242" t="s">
        <v>387</v>
      </c>
      <c r="B93" s="242" t="s">
        <v>345</v>
      </c>
      <c r="D93" s="243">
        <v>468.92399999999998</v>
      </c>
    </row>
    <row r="94" spans="1:4" ht="14.5" x14ac:dyDescent="0.35">
      <c r="A94" s="239"/>
      <c r="B94" s="240" t="s">
        <v>304</v>
      </c>
      <c r="D94" s="239"/>
    </row>
    <row r="95" spans="1:4" x14ac:dyDescent="0.3">
      <c r="A95" s="242" t="s">
        <v>388</v>
      </c>
      <c r="B95" s="242" t="s">
        <v>346</v>
      </c>
      <c r="D95" s="243">
        <v>4499.3119999999999</v>
      </c>
    </row>
  </sheetData>
  <phoneticPr fontId="1" type="noConversion"/>
  <hyperlinks>
    <hyperlink ref="L17" r:id="rId1" xr:uid="{BD989B58-E94A-4A0A-99DA-53F7FE2C2019}"/>
    <hyperlink ref="B17" r:id="rId2" xr:uid="{C9BBF8B8-C1AD-4F0C-8733-32B03DC63916}"/>
  </hyperlinks>
  <pageMargins left="0.7" right="0.7" top="0.75" bottom="0.75" header="0.3" footer="0.3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Annexe Manuscrit</vt:lpstr>
      <vt:lpstr>CSG-CRDS</vt:lpstr>
      <vt:lpstr>Flux</vt:lpstr>
      <vt:lpstr>Détail Niches</vt:lpstr>
      <vt:lpstr>Détail Economies</vt:lpstr>
      <vt:lpstr>Refonte fiscalité</vt:lpstr>
      <vt:lpstr>Input Capitalisation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Ingrid BARRAT</dc:creator>
  <cp:lastModifiedBy>Ingrid Barrat</cp:lastModifiedBy>
  <cp:lastPrinted>2026-03-19T13:59:06Z</cp:lastPrinted>
  <dcterms:created xsi:type="dcterms:W3CDTF">2025-11-04T15:35:47Z</dcterms:created>
  <dcterms:modified xsi:type="dcterms:W3CDTF">2026-09-17T15:26:14Z</dcterms:modified>
</cp:coreProperties>
</file>